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filterPrivacy="1" defaultThemeVersion="124226"/>
  <xr:revisionPtr revIDLastSave="0" documentId="8_{1AB12A1C-B14F-45BA-8289-9F5A02E65963}" xr6:coauthVersionLast="36" xr6:coauthVersionMax="36" xr10:uidLastSave="{00000000-0000-0000-0000-000000000000}"/>
  <bookViews>
    <workbookView xWindow="240" yWindow="225" windowWidth="14805" windowHeight="7605" activeTab="3" xr2:uid="{00000000-000D-0000-FFFF-FFFF00000000}"/>
  </bookViews>
  <sheets>
    <sheet name="3" sheetId="1" r:id="rId1"/>
    <sheet name="Информация о подписи" sheetId="2" state="hidden" r:id="rId2"/>
    <sheet name="Лист1" sheetId="3" state="hidden" r:id="rId3"/>
    <sheet name="Лист2" sheetId="4" r:id="rId4"/>
  </sheets>
  <externalReferences>
    <externalReference r:id="rId5"/>
  </externalReferences>
  <definedNames>
    <definedName name="_xlnm.Print_Area" localSheetId="0">'3'!$A$1:$AO$143</definedName>
  </definedNames>
  <calcPr calcId="191029"/>
</workbook>
</file>

<file path=xl/calcChain.xml><?xml version="1.0" encoding="utf-8"?>
<calcChain xmlns="http://schemas.openxmlformats.org/spreadsheetml/2006/main">
  <c r="AN84" i="1" l="1"/>
  <c r="P32" i="1"/>
  <c r="Z99" i="1" l="1"/>
  <c r="Z98" i="1"/>
  <c r="Z97" i="1"/>
  <c r="Z96" i="1"/>
  <c r="I75" i="1"/>
  <c r="K65" i="1" l="1"/>
  <c r="L59" i="1"/>
  <c r="N134" i="1"/>
  <c r="N129" i="1"/>
  <c r="N128" i="1"/>
  <c r="N127" i="1"/>
  <c r="N126" i="1"/>
  <c r="N125" i="1"/>
  <c r="N124" i="1"/>
  <c r="M67" i="1"/>
  <c r="L31" i="1"/>
  <c r="N55" i="1"/>
  <c r="M55" i="1"/>
  <c r="L55" i="1"/>
  <c r="L53" i="1"/>
  <c r="L52" i="1" s="1"/>
  <c r="Z143" i="1" l="1"/>
  <c r="Z142" i="1"/>
  <c r="Z141" i="1"/>
  <c r="Z135" i="1"/>
  <c r="Z133" i="1"/>
  <c r="Z130" i="1"/>
  <c r="Z123" i="1"/>
  <c r="Z94" i="1"/>
  <c r="Z93" i="1"/>
  <c r="Z89" i="1"/>
  <c r="Z88" i="1"/>
  <c r="Z87" i="1"/>
  <c r="Z84" i="1"/>
  <c r="Z82" i="1"/>
  <c r="Z81" i="1"/>
  <c r="Z80" i="1"/>
  <c r="Z79" i="1"/>
  <c r="Z78" i="1"/>
  <c r="Z77" i="1"/>
  <c r="Z76" i="1"/>
  <c r="Z72" i="1"/>
  <c r="Z71" i="1"/>
  <c r="Z64" i="1"/>
  <c r="Z61" i="1"/>
  <c r="Z59" i="1"/>
  <c r="Z58" i="1"/>
  <c r="Z57" i="1"/>
  <c r="Z39" i="1"/>
  <c r="Z38" i="1"/>
  <c r="Z31" i="1"/>
  <c r="Z28" i="1" l="1"/>
  <c r="Z27" i="1"/>
  <c r="Z26" i="1"/>
  <c r="Z24" i="1"/>
  <c r="Z20" i="1"/>
  <c r="Z19" i="1"/>
  <c r="Z18" i="1"/>
  <c r="X135" i="1"/>
  <c r="X133" i="1"/>
  <c r="X132" i="1"/>
  <c r="X131" i="1"/>
  <c r="X130" i="1"/>
  <c r="X94" i="1"/>
  <c r="X93" i="1"/>
  <c r="X89" i="1"/>
  <c r="X88" i="1"/>
  <c r="X72" i="1"/>
  <c r="X71" i="1"/>
  <c r="X70" i="1"/>
  <c r="X64" i="1"/>
  <c r="X63" i="1"/>
  <c r="X62" i="1"/>
  <c r="X61" i="1"/>
  <c r="X60" i="1"/>
  <c r="X59" i="1"/>
  <c r="X58" i="1"/>
  <c r="X57" i="1"/>
  <c r="X26" i="1"/>
  <c r="P138" i="1" l="1"/>
  <c r="P139" i="1"/>
  <c r="P140" i="1"/>
  <c r="P141" i="1"/>
  <c r="P142" i="1"/>
  <c r="P143" i="1"/>
  <c r="R60" i="1" l="1"/>
  <c r="Q60" i="1"/>
  <c r="N52" i="1"/>
  <c r="O52" i="1"/>
  <c r="M59" i="1"/>
  <c r="N59" i="1"/>
  <c r="O59" i="1"/>
  <c r="O23" i="1"/>
  <c r="N23" i="1"/>
  <c r="M23" i="1"/>
  <c r="L23" i="1"/>
  <c r="O22" i="1"/>
  <c r="N22" i="1"/>
  <c r="M22" i="1"/>
  <c r="L22" i="1"/>
  <c r="O21" i="1"/>
  <c r="N21" i="1"/>
  <c r="M21" i="1"/>
  <c r="L21" i="1"/>
  <c r="P99" i="1"/>
  <c r="S89" i="1"/>
  <c r="Q98" i="1"/>
  <c r="P97" i="1"/>
  <c r="P95" i="1"/>
  <c r="L89" i="1"/>
  <c r="M89" i="1"/>
  <c r="N89" i="1"/>
  <c r="O89" i="1"/>
  <c r="R82" i="1"/>
  <c r="Q82" i="1"/>
  <c r="L82" i="1"/>
  <c r="L58" i="1" s="1"/>
  <c r="M82" i="1"/>
  <c r="N82" i="1"/>
  <c r="O82" i="1"/>
  <c r="P80" i="1"/>
  <c r="P79" i="1"/>
  <c r="P77" i="1"/>
  <c r="P76" i="1"/>
  <c r="P78" i="1"/>
  <c r="P81" i="1"/>
  <c r="O58" i="1" l="1"/>
  <c r="N58" i="1"/>
  <c r="M58" i="1"/>
  <c r="Q89" i="1"/>
  <c r="P96" i="1"/>
  <c r="P87" i="1"/>
  <c r="S82" i="1"/>
  <c r="P75" i="1"/>
  <c r="AN99" i="1" l="1"/>
  <c r="AM141" i="1"/>
  <c r="AM142" i="1"/>
  <c r="AM143" i="1"/>
  <c r="AJ143" i="1"/>
  <c r="AN143" i="1" s="1"/>
  <c r="AJ141" i="1"/>
  <c r="AN141" i="1" s="1"/>
  <c r="AJ142" i="1"/>
  <c r="AN142" i="1" s="1"/>
  <c r="AN97" i="1"/>
  <c r="AN96" i="1"/>
  <c r="AJ94" i="1"/>
  <c r="AJ93" i="1"/>
  <c r="AJ87" i="1"/>
  <c r="AN87" i="1" s="1"/>
  <c r="AI82" i="1"/>
  <c r="AJ84" i="1"/>
  <c r="AJ81" i="1"/>
  <c r="AN81" i="1" s="1"/>
  <c r="AJ80" i="1"/>
  <c r="AN80" i="1" s="1"/>
  <c r="AJ79" i="1"/>
  <c r="AN79" i="1" s="1"/>
  <c r="AJ78" i="1"/>
  <c r="AN78" i="1" s="1"/>
  <c r="AJ77" i="1"/>
  <c r="AN77" i="1" s="1"/>
  <c r="AJ76" i="1"/>
  <c r="AN76" i="1" s="1"/>
  <c r="AI31" i="1"/>
  <c r="AJ39" i="1"/>
  <c r="R39" i="1" s="1"/>
  <c r="P39" i="1" s="1"/>
  <c r="AJ38" i="1"/>
  <c r="R38" i="1" s="1"/>
  <c r="P38" i="1" s="1"/>
  <c r="AE54" i="1"/>
  <c r="AE35" i="1"/>
  <c r="AE34" i="1"/>
  <c r="AE33" i="1"/>
  <c r="AE32" i="1"/>
  <c r="AH37" i="1"/>
  <c r="R37" i="1" s="1"/>
  <c r="P37" i="1" s="1"/>
  <c r="AH36" i="1"/>
  <c r="R36" i="1" s="1"/>
  <c r="AH34" i="1"/>
  <c r="AH105" i="1"/>
  <c r="AH104" i="1"/>
  <c r="AH103" i="1"/>
  <c r="AH74" i="1"/>
  <c r="AH68" i="1"/>
  <c r="H123" i="1"/>
  <c r="H89" i="1"/>
  <c r="I94" i="1"/>
  <c r="I93" i="1"/>
  <c r="H82" i="1"/>
  <c r="I84" i="1"/>
  <c r="I87" i="1"/>
  <c r="I81" i="1"/>
  <c r="I80" i="1"/>
  <c r="I79" i="1"/>
  <c r="I78" i="1"/>
  <c r="I77" i="1"/>
  <c r="I76" i="1"/>
  <c r="H59" i="1"/>
  <c r="H27" i="1"/>
  <c r="H19" i="1" s="1"/>
  <c r="L28" i="1"/>
  <c r="L27" i="1" s="1"/>
  <c r="M31" i="1"/>
  <c r="M28" i="1" s="1"/>
  <c r="N31" i="1"/>
  <c r="N28" i="1" s="1"/>
  <c r="N27" i="1" s="1"/>
  <c r="N19" i="1" s="1"/>
  <c r="O31" i="1"/>
  <c r="R35" i="1"/>
  <c r="AJ82" i="1" l="1"/>
  <c r="AN38" i="1"/>
  <c r="AJ31" i="1"/>
  <c r="AN39" i="1"/>
  <c r="O28" i="1"/>
  <c r="O27" i="1" s="1"/>
  <c r="O19" i="1" s="1"/>
  <c r="AJ59" i="1"/>
  <c r="I59" i="1"/>
  <c r="AN98" i="1"/>
  <c r="AN37" i="1"/>
  <c r="AN75" i="1"/>
  <c r="L19" i="1"/>
  <c r="H58" i="1"/>
  <c r="R89" i="1" l="1"/>
  <c r="P98" i="1"/>
  <c r="I140" i="1"/>
  <c r="I105" i="1"/>
  <c r="I104" i="1"/>
  <c r="I103" i="1"/>
  <c r="I95" i="1"/>
  <c r="I92" i="1"/>
  <c r="I91" i="1"/>
  <c r="I90" i="1"/>
  <c r="I130" i="1"/>
  <c r="I89" i="1" l="1"/>
  <c r="Q54" i="1"/>
  <c r="AN140" i="1" l="1"/>
  <c r="AM140" i="1"/>
  <c r="J123" i="1"/>
  <c r="L123" i="1"/>
  <c r="L24" i="1" s="1"/>
  <c r="M123" i="1"/>
  <c r="M24" i="1" s="1"/>
  <c r="N123" i="1"/>
  <c r="N24" i="1" s="1"/>
  <c r="O123" i="1"/>
  <c r="O24" i="1" s="1"/>
  <c r="U123" i="1"/>
  <c r="V123" i="1"/>
  <c r="W123" i="1"/>
  <c r="AC123" i="1"/>
  <c r="AE123" i="1"/>
  <c r="AG123" i="1"/>
  <c r="H24" i="1"/>
  <c r="S100" i="1" l="1"/>
  <c r="J89" i="1"/>
  <c r="U89" i="1"/>
  <c r="V89" i="1"/>
  <c r="W89" i="1"/>
  <c r="AA89" i="1"/>
  <c r="AB89" i="1"/>
  <c r="AC89" i="1"/>
  <c r="AG89" i="1"/>
  <c r="AH89" i="1"/>
  <c r="AK89" i="1"/>
  <c r="AL89" i="1"/>
  <c r="I100" i="1"/>
  <c r="J100" i="1"/>
  <c r="L100" i="1"/>
  <c r="L88" i="1" s="1"/>
  <c r="M100" i="1"/>
  <c r="N100" i="1"/>
  <c r="O100" i="1"/>
  <c r="Q100" i="1"/>
  <c r="R100" i="1"/>
  <c r="T100" i="1"/>
  <c r="U100" i="1"/>
  <c r="V100" i="1"/>
  <c r="W100" i="1"/>
  <c r="Y100" i="1"/>
  <c r="AA100" i="1"/>
  <c r="AB100" i="1"/>
  <c r="AC100" i="1"/>
  <c r="AD100" i="1"/>
  <c r="AE100" i="1"/>
  <c r="AG100" i="1"/>
  <c r="AH100" i="1"/>
  <c r="AI100" i="1"/>
  <c r="AJ100" i="1"/>
  <c r="AK100" i="1"/>
  <c r="AL100" i="1"/>
  <c r="H100" i="1"/>
  <c r="L57" i="1" l="1"/>
  <c r="L20" i="1" s="1"/>
  <c r="L18" i="1" s="1"/>
  <c r="AH88" i="1"/>
  <c r="AC88" i="1"/>
  <c r="N88" i="1"/>
  <c r="N57" i="1" s="1"/>
  <c r="V88" i="1"/>
  <c r="U88" i="1"/>
  <c r="H88" i="1"/>
  <c r="H57" i="1" s="1"/>
  <c r="M88" i="1"/>
  <c r="M57" i="1" s="1"/>
  <c r="AA88" i="1"/>
  <c r="J88" i="1"/>
  <c r="AB88" i="1"/>
  <c r="O88" i="1"/>
  <c r="O57" i="1" s="1"/>
  <c r="AL88" i="1"/>
  <c r="AK88" i="1"/>
  <c r="AG88" i="1"/>
  <c r="W88" i="1"/>
  <c r="I88" i="1"/>
  <c r="L26" i="1" l="1"/>
  <c r="O20" i="1"/>
  <c r="O18" i="1" s="1"/>
  <c r="O26" i="1"/>
  <c r="N20" i="1"/>
  <c r="M20" i="1"/>
  <c r="H20" i="1"/>
  <c r="H18" i="1" s="1"/>
  <c r="H26" i="1"/>
  <c r="AM104" i="1"/>
  <c r="AF104" i="1"/>
  <c r="AN104" i="1" s="1"/>
  <c r="P104" i="1"/>
  <c r="AM102" i="1"/>
  <c r="AF102" i="1"/>
  <c r="AN102" i="1" s="1"/>
  <c r="P102" i="1"/>
  <c r="AM101" i="1"/>
  <c r="AF101" i="1"/>
  <c r="P101" i="1"/>
  <c r="AN101" i="1" l="1"/>
  <c r="AN139" i="1"/>
  <c r="AH139" i="1"/>
  <c r="I139" i="1"/>
  <c r="AF128" i="1" l="1"/>
  <c r="Y94" i="1" l="1"/>
  <c r="Y93" i="1"/>
  <c r="Y89" i="1" l="1"/>
  <c r="Y88" i="1" s="1"/>
  <c r="AN138" i="1"/>
  <c r="R54" i="1" l="1"/>
  <c r="R34" i="1"/>
  <c r="Q34" i="1"/>
  <c r="R33" i="1"/>
  <c r="R31" i="1" s="1"/>
  <c r="Q33" i="1"/>
  <c r="Q32" i="1"/>
  <c r="Q31" i="1" s="1"/>
  <c r="P84" i="1" l="1"/>
  <c r="AD106" i="1" l="1"/>
  <c r="Y31" i="1" l="1"/>
  <c r="W31" i="1"/>
  <c r="AE82" i="1" l="1"/>
  <c r="J59" i="1"/>
  <c r="AL31" i="1"/>
  <c r="AK31" i="1"/>
  <c r="AE31" i="1"/>
  <c r="AE28" i="1" s="1"/>
  <c r="AF31" i="1"/>
  <c r="AA31" i="1"/>
  <c r="AB31" i="1"/>
  <c r="AC31" i="1"/>
  <c r="AD31" i="1"/>
  <c r="J31" i="1"/>
  <c r="AN74" i="1" l="1"/>
  <c r="AM74" i="1"/>
  <c r="Y74" i="1"/>
  <c r="P74" i="1"/>
  <c r="Q69" i="1"/>
  <c r="P69" i="1" s="1"/>
  <c r="Q68" i="1"/>
  <c r="Y69" i="1"/>
  <c r="T67" i="1"/>
  <c r="AN36" i="1"/>
  <c r="AM35" i="1"/>
  <c r="AM36" i="1"/>
  <c r="P36" i="1"/>
  <c r="AH138" i="1" l="1"/>
  <c r="I138" i="1"/>
  <c r="AE55" i="1" l="1"/>
  <c r="AE53" i="1"/>
  <c r="AE52" i="1" l="1"/>
  <c r="P103" i="1"/>
  <c r="P105" i="1"/>
  <c r="P86" i="1"/>
  <c r="P73" i="1"/>
  <c r="P56" i="1"/>
  <c r="P55" i="1" s="1"/>
  <c r="P33" i="1"/>
  <c r="P34" i="1"/>
  <c r="P35" i="1"/>
  <c r="P100" i="1" l="1"/>
  <c r="AM95" i="1"/>
  <c r="AF105" i="1" l="1"/>
  <c r="AM105" i="1"/>
  <c r="AF103" i="1"/>
  <c r="AF100" i="1" l="1"/>
  <c r="AM103" i="1"/>
  <c r="AM100" i="1" s="1"/>
  <c r="E19" i="1" l="1"/>
  <c r="F19" i="1"/>
  <c r="G19" i="1"/>
  <c r="U19" i="1"/>
  <c r="V19" i="1"/>
  <c r="E20" i="1"/>
  <c r="F20" i="1"/>
  <c r="G20" i="1"/>
  <c r="U20" i="1"/>
  <c r="V20" i="1"/>
  <c r="E21" i="1"/>
  <c r="F21" i="1"/>
  <c r="G21" i="1"/>
  <c r="J21" i="1"/>
  <c r="U21" i="1"/>
  <c r="V21" i="1"/>
  <c r="AA21" i="1"/>
  <c r="AC21" i="1"/>
  <c r="AG21" i="1"/>
  <c r="AI21" i="1"/>
  <c r="AJ21" i="1"/>
  <c r="AK21" i="1"/>
  <c r="AL21" i="1"/>
  <c r="E22" i="1"/>
  <c r="F22" i="1"/>
  <c r="G22" i="1"/>
  <c r="J22" i="1"/>
  <c r="U22" i="1"/>
  <c r="V22" i="1"/>
  <c r="AA22" i="1"/>
  <c r="AC22" i="1"/>
  <c r="AG22" i="1"/>
  <c r="AI22" i="1"/>
  <c r="AJ22" i="1"/>
  <c r="AK22" i="1"/>
  <c r="AL22" i="1"/>
  <c r="E23" i="1"/>
  <c r="F23" i="1"/>
  <c r="G23" i="1"/>
  <c r="J23" i="1"/>
  <c r="U23" i="1"/>
  <c r="V23" i="1"/>
  <c r="AA23" i="1"/>
  <c r="AC23" i="1"/>
  <c r="AG23" i="1"/>
  <c r="AI23" i="1"/>
  <c r="AJ23" i="1"/>
  <c r="AK23" i="1"/>
  <c r="AL23" i="1"/>
  <c r="E24" i="1"/>
  <c r="F24" i="1"/>
  <c r="G24" i="1"/>
  <c r="U24" i="1"/>
  <c r="V24" i="1"/>
  <c r="D24" i="1"/>
  <c r="D23" i="1"/>
  <c r="D22" i="1"/>
  <c r="D21" i="1"/>
  <c r="D20" i="1"/>
  <c r="D19" i="1"/>
  <c r="U18" i="1" l="1"/>
  <c r="E18" i="1"/>
  <c r="V18" i="1"/>
  <c r="G18" i="1"/>
  <c r="F18" i="1"/>
  <c r="D18" i="1"/>
  <c r="R28" i="1"/>
  <c r="I131" i="1" l="1"/>
  <c r="I132" i="1"/>
  <c r="I133" i="1"/>
  <c r="I134" i="1"/>
  <c r="I135" i="1"/>
  <c r="I136" i="1"/>
  <c r="I53" i="1" l="1"/>
  <c r="Y55" i="1" l="1"/>
  <c r="Y53" i="1"/>
  <c r="Y28" i="1"/>
  <c r="Y120" i="1"/>
  <c r="Y119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AF83" i="1"/>
  <c r="Y51" i="1"/>
  <c r="Y50" i="1"/>
  <c r="Y49" i="1"/>
  <c r="Y48" i="1"/>
  <c r="Y47" i="1"/>
  <c r="Y46" i="1"/>
  <c r="Y45" i="1"/>
  <c r="Y44" i="1"/>
  <c r="Y43" i="1"/>
  <c r="Y42" i="1"/>
  <c r="Y41" i="1"/>
  <c r="Y40" i="1" l="1"/>
  <c r="Y118" i="1"/>
  <c r="Y121" i="1"/>
  <c r="Y122" i="1"/>
  <c r="Y52" i="1"/>
  <c r="Y27" i="1" l="1"/>
  <c r="Y19" i="1" s="1"/>
  <c r="Y22" i="1"/>
  <c r="Y23" i="1"/>
  <c r="Y21" i="1"/>
  <c r="AN32" i="1"/>
  <c r="AB134" i="1" l="1"/>
  <c r="AB135" i="1"/>
  <c r="AB136" i="1"/>
  <c r="AB137" i="1"/>
  <c r="AC28" i="1" l="1"/>
  <c r="AD28" i="1"/>
  <c r="AD40" i="1"/>
  <c r="AE40" i="1" s="1"/>
  <c r="AD41" i="1"/>
  <c r="AE41" i="1" s="1"/>
  <c r="AD42" i="1"/>
  <c r="AE42" i="1" s="1"/>
  <c r="AD43" i="1"/>
  <c r="AE43" i="1" s="1"/>
  <c r="AD44" i="1"/>
  <c r="AE44" i="1" s="1"/>
  <c r="AD45" i="1"/>
  <c r="AE45" i="1" s="1"/>
  <c r="AD46" i="1"/>
  <c r="AE46" i="1" s="1"/>
  <c r="AD47" i="1"/>
  <c r="AE47" i="1" s="1"/>
  <c r="AD48" i="1"/>
  <c r="AE48" i="1" s="1"/>
  <c r="AD49" i="1"/>
  <c r="AE49" i="1" s="1"/>
  <c r="AD50" i="1"/>
  <c r="AE50" i="1" s="1"/>
  <c r="AD51" i="1"/>
  <c r="AE51" i="1" s="1"/>
  <c r="AC53" i="1"/>
  <c r="AD53" i="1"/>
  <c r="AC55" i="1"/>
  <c r="AD55" i="1"/>
  <c r="AD60" i="1"/>
  <c r="AE60" i="1" s="1"/>
  <c r="AD61" i="1"/>
  <c r="AE61" i="1" s="1"/>
  <c r="AD62" i="1"/>
  <c r="AE62" i="1" s="1"/>
  <c r="AD63" i="1"/>
  <c r="AE63" i="1" s="1"/>
  <c r="AD64" i="1"/>
  <c r="AE64" i="1" s="1"/>
  <c r="AD66" i="1"/>
  <c r="AD68" i="1"/>
  <c r="AC59" i="1"/>
  <c r="AD70" i="1"/>
  <c r="AE70" i="1" s="1"/>
  <c r="AD71" i="1"/>
  <c r="AE71" i="1" s="1"/>
  <c r="AD72" i="1"/>
  <c r="AE72" i="1" s="1"/>
  <c r="AD82" i="1"/>
  <c r="AD86" i="1"/>
  <c r="AD93" i="1"/>
  <c r="AD94" i="1"/>
  <c r="AE94" i="1" s="1"/>
  <c r="AD95" i="1"/>
  <c r="AE106" i="1"/>
  <c r="AD107" i="1"/>
  <c r="AE107" i="1" s="1"/>
  <c r="AD108" i="1"/>
  <c r="AE108" i="1" s="1"/>
  <c r="AD109" i="1"/>
  <c r="AE109" i="1" s="1"/>
  <c r="AD110" i="1"/>
  <c r="AE110" i="1" s="1"/>
  <c r="AD111" i="1"/>
  <c r="AE111" i="1" s="1"/>
  <c r="AD112" i="1"/>
  <c r="AE112" i="1" s="1"/>
  <c r="AD113" i="1"/>
  <c r="AE113" i="1" s="1"/>
  <c r="AD114" i="1"/>
  <c r="AE114" i="1" s="1"/>
  <c r="AD115" i="1"/>
  <c r="AE115" i="1" s="1"/>
  <c r="AD116" i="1"/>
  <c r="AE116" i="1" s="1"/>
  <c r="AD117" i="1"/>
  <c r="AE117" i="1" s="1"/>
  <c r="AD118" i="1"/>
  <c r="AD119" i="1"/>
  <c r="AE119" i="1" s="1"/>
  <c r="AD120" i="1"/>
  <c r="AE120" i="1" s="1"/>
  <c r="AD121" i="1"/>
  <c r="AD122" i="1"/>
  <c r="AD124" i="1"/>
  <c r="AD125" i="1"/>
  <c r="AD126" i="1"/>
  <c r="AD127" i="1"/>
  <c r="AD128" i="1"/>
  <c r="AD130" i="1"/>
  <c r="AD131" i="1"/>
  <c r="AD132" i="1"/>
  <c r="AD133" i="1"/>
  <c r="AD135" i="1"/>
  <c r="AD136" i="1"/>
  <c r="AB133" i="1"/>
  <c r="AB132" i="1"/>
  <c r="AB131" i="1"/>
  <c r="AB130" i="1"/>
  <c r="AB128" i="1"/>
  <c r="AB127" i="1"/>
  <c r="AB126" i="1"/>
  <c r="AB125" i="1"/>
  <c r="AB124" i="1"/>
  <c r="AB122" i="1"/>
  <c r="AB23" i="1" s="1"/>
  <c r="AB121" i="1"/>
  <c r="AB22" i="1" s="1"/>
  <c r="AB120" i="1"/>
  <c r="AB119" i="1"/>
  <c r="AB118" i="1"/>
  <c r="AB21" i="1" s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72" i="1"/>
  <c r="AB71" i="1"/>
  <c r="AB70" i="1"/>
  <c r="AA69" i="1"/>
  <c r="AB68" i="1"/>
  <c r="AB64" i="1"/>
  <c r="AB63" i="1"/>
  <c r="AB62" i="1"/>
  <c r="AB61" i="1"/>
  <c r="AB60" i="1"/>
  <c r="AB55" i="1"/>
  <c r="AA55" i="1"/>
  <c r="AB53" i="1"/>
  <c r="AA53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28" i="1"/>
  <c r="AA28" i="1"/>
  <c r="AD123" i="1" l="1"/>
  <c r="AE93" i="1"/>
  <c r="AE89" i="1" s="1"/>
  <c r="AE88" i="1" s="1"/>
  <c r="AD89" i="1"/>
  <c r="AD88" i="1" s="1"/>
  <c r="AB69" i="1"/>
  <c r="AB59" i="1" s="1"/>
  <c r="AA59" i="1"/>
  <c r="AE27" i="1"/>
  <c r="AE19" i="1" s="1"/>
  <c r="AD23" i="1"/>
  <c r="AE122" i="1"/>
  <c r="AE23" i="1" s="1"/>
  <c r="AD22" i="1"/>
  <c r="AE121" i="1"/>
  <c r="AE22" i="1" s="1"/>
  <c r="AD21" i="1"/>
  <c r="AE118" i="1"/>
  <c r="AE21" i="1" s="1"/>
  <c r="AD69" i="1"/>
  <c r="AE69" i="1" s="1"/>
  <c r="AD52" i="1"/>
  <c r="AD27" i="1" s="1"/>
  <c r="AD19" i="1" s="1"/>
  <c r="AC82" i="1"/>
  <c r="AC58" i="1" s="1"/>
  <c r="AM85" i="1"/>
  <c r="AC52" i="1"/>
  <c r="AC27" i="1" s="1"/>
  <c r="AC19" i="1" s="1"/>
  <c r="AA52" i="1"/>
  <c r="AA27" i="1" s="1"/>
  <c r="AA19" i="1" s="1"/>
  <c r="AB52" i="1"/>
  <c r="AB27" i="1" s="1"/>
  <c r="AB19" i="1" s="1"/>
  <c r="AE59" i="1" l="1"/>
  <c r="AE58" i="1" s="1"/>
  <c r="AE57" i="1" s="1"/>
  <c r="AE20" i="1" s="1"/>
  <c r="AD59" i="1"/>
  <c r="AD58" i="1" s="1"/>
  <c r="AE24" i="1"/>
  <c r="AE26" i="1" l="1"/>
  <c r="AE18" i="1"/>
  <c r="AN17" i="1"/>
  <c r="AO17" i="1" s="1"/>
  <c r="AN29" i="1" l="1"/>
  <c r="AN54" i="1"/>
  <c r="AM137" i="1"/>
  <c r="AF94" i="1" l="1"/>
  <c r="T94" i="1"/>
  <c r="AM86" i="1"/>
  <c r="AH86" i="1"/>
  <c r="Y86" i="1"/>
  <c r="Y82" i="1" s="1"/>
  <c r="I86" i="1"/>
  <c r="I82" i="1" l="1"/>
  <c r="I58" i="1" s="1"/>
  <c r="P94" i="1"/>
  <c r="AN86" i="1"/>
  <c r="AF28" i="1" l="1"/>
  <c r="AM34" i="1" l="1"/>
  <c r="AN34" i="1"/>
  <c r="AH35" i="1"/>
  <c r="AN35" i="1" s="1"/>
  <c r="AM29" i="1" l="1"/>
  <c r="AM33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4" i="1"/>
  <c r="AM56" i="1"/>
  <c r="AM60" i="1"/>
  <c r="AM61" i="1"/>
  <c r="AM65" i="1"/>
  <c r="AM67" i="1"/>
  <c r="AM68" i="1"/>
  <c r="AM73" i="1"/>
  <c r="AM83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21" i="1" s="1"/>
  <c r="AM119" i="1"/>
  <c r="AM120" i="1"/>
  <c r="AM121" i="1"/>
  <c r="AM22" i="1" s="1"/>
  <c r="AM122" i="1"/>
  <c r="AM23" i="1" s="1"/>
  <c r="AM134" i="1"/>
  <c r="AM135" i="1"/>
  <c r="AM136" i="1"/>
  <c r="AL82" i="1"/>
  <c r="AL55" i="1"/>
  <c r="AL53" i="1"/>
  <c r="AL30" i="1"/>
  <c r="AL28" i="1" s="1"/>
  <c r="AJ55" i="1"/>
  <c r="AJ53" i="1"/>
  <c r="AJ28" i="1"/>
  <c r="AL52" i="1" l="1"/>
  <c r="AL27" i="1" s="1"/>
  <c r="AL19" i="1" s="1"/>
  <c r="AJ52" i="1"/>
  <c r="AJ27" i="1" s="1"/>
  <c r="AJ19" i="1" s="1"/>
  <c r="I137" i="1" l="1"/>
  <c r="I123" i="1" s="1"/>
  <c r="I24" i="1" l="1"/>
  <c r="AG24" i="1"/>
  <c r="J24" i="1"/>
  <c r="AK82" i="1"/>
  <c r="AG82" i="1"/>
  <c r="AK55" i="1"/>
  <c r="AI55" i="1"/>
  <c r="AG55" i="1"/>
  <c r="AF55" i="1"/>
  <c r="T55" i="1"/>
  <c r="S55" i="1"/>
  <c r="R55" i="1"/>
  <c r="Q55" i="1"/>
  <c r="J55" i="1"/>
  <c r="I55" i="1"/>
  <c r="AK53" i="1"/>
  <c r="AI53" i="1"/>
  <c r="AH53" i="1"/>
  <c r="AG53" i="1"/>
  <c r="J53" i="1"/>
  <c r="AK30" i="1"/>
  <c r="AK28" i="1" s="1"/>
  <c r="AI30" i="1"/>
  <c r="AI28" i="1" s="1"/>
  <c r="J28" i="1"/>
  <c r="AM82" i="1" l="1"/>
  <c r="J52" i="1"/>
  <c r="J27" i="1" s="1"/>
  <c r="J19" i="1" s="1"/>
  <c r="AM53" i="1"/>
  <c r="AI52" i="1"/>
  <c r="AI27" i="1" s="1"/>
  <c r="AI19" i="1" s="1"/>
  <c r="AM55" i="1"/>
  <c r="AK52" i="1"/>
  <c r="AK27" i="1" s="1"/>
  <c r="AK19" i="1" s="1"/>
  <c r="AG52" i="1"/>
  <c r="I52" i="1"/>
  <c r="AM52" i="1" l="1"/>
  <c r="Y136" i="1" l="1"/>
  <c r="Y135" i="1"/>
  <c r="I32" i="1" l="1"/>
  <c r="I40" i="1"/>
  <c r="I41" i="1"/>
  <c r="I42" i="1"/>
  <c r="I43" i="1"/>
  <c r="I44" i="1"/>
  <c r="I45" i="1"/>
  <c r="I46" i="1"/>
  <c r="I47" i="1"/>
  <c r="I48" i="1"/>
  <c r="I49" i="1"/>
  <c r="I50" i="1"/>
  <c r="I51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21" i="1" s="1"/>
  <c r="I119" i="1"/>
  <c r="I120" i="1"/>
  <c r="I121" i="1"/>
  <c r="I22" i="1" s="1"/>
  <c r="I122" i="1"/>
  <c r="I23" i="1" s="1"/>
  <c r="AA129" i="1"/>
  <c r="AA123" i="1" s="1"/>
  <c r="I31" i="1" l="1"/>
  <c r="I28" i="1" s="1"/>
  <c r="I27" i="1" s="1"/>
  <c r="AB129" i="1"/>
  <c r="AA24" i="1"/>
  <c r="AB123" i="1" l="1"/>
  <c r="AB24" i="1" s="1"/>
  <c r="I19" i="1"/>
  <c r="AH33" i="1"/>
  <c r="AH31" i="1" l="1"/>
  <c r="AH28" i="1" s="1"/>
  <c r="AN33" i="1"/>
  <c r="AN31" i="1"/>
  <c r="AH137" i="1"/>
  <c r="AN30" i="1" l="1"/>
  <c r="AF137" i="1"/>
  <c r="AN137" i="1" s="1"/>
  <c r="S137" i="1" s="1"/>
  <c r="P137" i="1" s="1"/>
  <c r="AN28" i="1" l="1"/>
  <c r="Y125" i="1" l="1"/>
  <c r="Y126" i="1"/>
  <c r="Y127" i="1"/>
  <c r="Y128" i="1"/>
  <c r="Y131" i="1"/>
  <c r="Y132" i="1"/>
  <c r="Y133" i="1"/>
  <c r="Y124" i="1"/>
  <c r="I57" i="1" l="1"/>
  <c r="I26" i="1" s="1"/>
  <c r="I20" i="1" l="1"/>
  <c r="I18" i="1" s="1"/>
  <c r="Y130" i="1"/>
  <c r="Y123" i="1" l="1"/>
  <c r="Y24" i="1" s="1"/>
  <c r="Y64" i="1"/>
  <c r="Y63" i="1"/>
  <c r="Y61" i="1"/>
  <c r="P17" i="1" l="1"/>
  <c r="Q17" i="1" s="1"/>
  <c r="R17" i="1" s="1"/>
  <c r="S17" i="1" s="1"/>
  <c r="T17" i="1" s="1"/>
  <c r="Y72" i="1" l="1"/>
  <c r="AG32" i="1" l="1"/>
  <c r="AH61" i="1"/>
  <c r="AH62" i="1"/>
  <c r="AH63" i="1"/>
  <c r="AH64" i="1"/>
  <c r="AH65" i="1"/>
  <c r="AH66" i="1"/>
  <c r="AH67" i="1"/>
  <c r="AH70" i="1"/>
  <c r="AH71" i="1"/>
  <c r="AH72" i="1"/>
  <c r="AH73" i="1"/>
  <c r="AN73" i="1" s="1"/>
  <c r="AH56" i="1"/>
  <c r="AN56" i="1" s="1"/>
  <c r="AH60" i="1"/>
  <c r="AM32" i="1" l="1"/>
  <c r="AG31" i="1"/>
  <c r="AG28" i="1" s="1"/>
  <c r="AH59" i="1"/>
  <c r="AH55" i="1"/>
  <c r="AH136" i="1"/>
  <c r="AH135" i="1" s="1"/>
  <c r="AH134" i="1" s="1"/>
  <c r="AH133" i="1" s="1"/>
  <c r="AH132" i="1" s="1"/>
  <c r="AH131" i="1" s="1"/>
  <c r="AH130" i="1" s="1"/>
  <c r="AH129" i="1" s="1"/>
  <c r="AH128" i="1" s="1"/>
  <c r="AH127" i="1" s="1"/>
  <c r="AH126" i="1" s="1"/>
  <c r="AH125" i="1" s="1"/>
  <c r="AH124" i="1" s="1"/>
  <c r="AH123" i="1" s="1"/>
  <c r="AG27" i="1" l="1"/>
  <c r="AM30" i="1"/>
  <c r="AM31" i="1"/>
  <c r="AH52" i="1"/>
  <c r="AN55" i="1"/>
  <c r="AH27" i="1" l="1"/>
  <c r="AH19" i="1" s="1"/>
  <c r="AH24" i="1"/>
  <c r="AM27" i="1"/>
  <c r="AM19" i="1" s="1"/>
  <c r="AG19" i="1"/>
  <c r="AM28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3" i="1"/>
  <c r="AF60" i="1"/>
  <c r="AN60" i="1" s="1"/>
  <c r="AF61" i="1"/>
  <c r="AF62" i="1"/>
  <c r="AF63" i="1"/>
  <c r="AF64" i="1"/>
  <c r="AF65" i="1"/>
  <c r="AN65" i="1" s="1"/>
  <c r="AF67" i="1"/>
  <c r="AF69" i="1"/>
  <c r="AF70" i="1"/>
  <c r="AF71" i="1"/>
  <c r="AF72" i="1"/>
  <c r="AF82" i="1"/>
  <c r="AF91" i="1"/>
  <c r="AF93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9" i="1"/>
  <c r="AF130" i="1"/>
  <c r="AF131" i="1"/>
  <c r="AF132" i="1"/>
  <c r="AF133" i="1"/>
  <c r="AF134" i="1"/>
  <c r="AN134" i="1" s="1"/>
  <c r="S134" i="1" s="1"/>
  <c r="AF135" i="1"/>
  <c r="AF136" i="1"/>
  <c r="AN136" i="1" s="1"/>
  <c r="S136" i="1" s="1"/>
  <c r="AN66" i="1"/>
  <c r="T32" i="1"/>
  <c r="T31" i="1" s="1"/>
  <c r="T40" i="1"/>
  <c r="T41" i="1"/>
  <c r="T42" i="1"/>
  <c r="T43" i="1"/>
  <c r="T44" i="1"/>
  <c r="T45" i="1"/>
  <c r="T46" i="1"/>
  <c r="T47" i="1"/>
  <c r="T48" i="1"/>
  <c r="T49" i="1"/>
  <c r="T50" i="1"/>
  <c r="T51" i="1"/>
  <c r="T54" i="1"/>
  <c r="T53" i="1" s="1"/>
  <c r="T52" i="1" s="1"/>
  <c r="T60" i="1"/>
  <c r="T61" i="1"/>
  <c r="T62" i="1"/>
  <c r="T63" i="1"/>
  <c r="T64" i="1"/>
  <c r="T65" i="1"/>
  <c r="P65" i="1" s="1"/>
  <c r="T66" i="1"/>
  <c r="P66" i="1" s="1"/>
  <c r="P67" i="1"/>
  <c r="T70" i="1"/>
  <c r="T71" i="1"/>
  <c r="T72" i="1"/>
  <c r="T83" i="1"/>
  <c r="P83" i="1" s="1"/>
  <c r="P82" i="1" s="1"/>
  <c r="T85" i="1"/>
  <c r="P85" i="1" s="1"/>
  <c r="T90" i="1"/>
  <c r="T91" i="1"/>
  <c r="P91" i="1" s="1"/>
  <c r="T92" i="1"/>
  <c r="P92" i="1" s="1"/>
  <c r="T93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21" i="1" s="1"/>
  <c r="T119" i="1"/>
  <c r="T120" i="1"/>
  <c r="T121" i="1"/>
  <c r="T22" i="1" s="1"/>
  <c r="T122" i="1"/>
  <c r="T23" i="1" s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S32" i="1"/>
  <c r="S40" i="1"/>
  <c r="S41" i="1"/>
  <c r="S42" i="1"/>
  <c r="S43" i="1"/>
  <c r="S44" i="1"/>
  <c r="S45" i="1"/>
  <c r="S46" i="1"/>
  <c r="S47" i="1"/>
  <c r="S48" i="1"/>
  <c r="S49" i="1"/>
  <c r="S50" i="1"/>
  <c r="S51" i="1"/>
  <c r="S54" i="1"/>
  <c r="S53" i="1" s="1"/>
  <c r="S52" i="1" s="1"/>
  <c r="S61" i="1"/>
  <c r="S64" i="1"/>
  <c r="S71" i="1"/>
  <c r="S72" i="1"/>
  <c r="S88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21" i="1" s="1"/>
  <c r="S119" i="1"/>
  <c r="S120" i="1"/>
  <c r="S121" i="1"/>
  <c r="S22" i="1" s="1"/>
  <c r="S122" i="1"/>
  <c r="S23" i="1" s="1"/>
  <c r="R40" i="1"/>
  <c r="R41" i="1"/>
  <c r="R42" i="1"/>
  <c r="R43" i="1"/>
  <c r="R44" i="1"/>
  <c r="R45" i="1"/>
  <c r="R46" i="1"/>
  <c r="R47" i="1"/>
  <c r="R48" i="1"/>
  <c r="R49" i="1"/>
  <c r="R50" i="1"/>
  <c r="R51" i="1"/>
  <c r="R53" i="1"/>
  <c r="R52" i="1" s="1"/>
  <c r="R64" i="1"/>
  <c r="R71" i="1"/>
  <c r="R72" i="1"/>
  <c r="R88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21" i="1" s="1"/>
  <c r="R119" i="1"/>
  <c r="R120" i="1"/>
  <c r="R121" i="1"/>
  <c r="R22" i="1" s="1"/>
  <c r="R122" i="1"/>
  <c r="R23" i="1" s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Q28" i="1"/>
  <c r="Q40" i="1"/>
  <c r="Q41" i="1"/>
  <c r="Q42" i="1"/>
  <c r="Q43" i="1"/>
  <c r="Q44" i="1"/>
  <c r="Q45" i="1"/>
  <c r="Q46" i="1"/>
  <c r="Q47" i="1"/>
  <c r="Q48" i="1"/>
  <c r="Q49" i="1"/>
  <c r="Q50" i="1"/>
  <c r="Q51" i="1"/>
  <c r="Q61" i="1"/>
  <c r="Q62" i="1"/>
  <c r="Q63" i="1"/>
  <c r="Q64" i="1"/>
  <c r="Q71" i="1"/>
  <c r="Q72" i="1"/>
  <c r="Q88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21" i="1" s="1"/>
  <c r="Q119" i="1"/>
  <c r="Q120" i="1"/>
  <c r="Q121" i="1"/>
  <c r="Q22" i="1" s="1"/>
  <c r="Q122" i="1"/>
  <c r="Q23" i="1" s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P40" i="1"/>
  <c r="P41" i="1"/>
  <c r="P42" i="1"/>
  <c r="P43" i="1"/>
  <c r="P44" i="1"/>
  <c r="P45" i="1"/>
  <c r="P46" i="1"/>
  <c r="P47" i="1"/>
  <c r="P48" i="1"/>
  <c r="P49" i="1"/>
  <c r="P50" i="1"/>
  <c r="P51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R59" i="1" l="1"/>
  <c r="P31" i="1"/>
  <c r="S31" i="1"/>
  <c r="R123" i="1"/>
  <c r="R24" i="1" s="1"/>
  <c r="T123" i="1"/>
  <c r="T24" i="1" s="1"/>
  <c r="S59" i="1"/>
  <c r="Q123" i="1"/>
  <c r="Q59" i="1"/>
  <c r="P54" i="1"/>
  <c r="P53" i="1" s="1"/>
  <c r="P52" i="1" s="1"/>
  <c r="P22" i="1"/>
  <c r="P21" i="1"/>
  <c r="AF89" i="1"/>
  <c r="AF88" i="1" s="1"/>
  <c r="P23" i="1"/>
  <c r="P90" i="1"/>
  <c r="T89" i="1"/>
  <c r="T88" i="1" s="1"/>
  <c r="Q24" i="1"/>
  <c r="P63" i="1"/>
  <c r="T59" i="1"/>
  <c r="P64" i="1"/>
  <c r="P134" i="1"/>
  <c r="P61" i="1"/>
  <c r="P71" i="1"/>
  <c r="P70" i="1"/>
  <c r="P93" i="1"/>
  <c r="P68" i="1"/>
  <c r="P60" i="1"/>
  <c r="P72" i="1"/>
  <c r="P62" i="1"/>
  <c r="R27" i="1"/>
  <c r="R19" i="1" s="1"/>
  <c r="AF21" i="1"/>
  <c r="AN122" i="1"/>
  <c r="AN23" i="1" s="1"/>
  <c r="AF23" i="1"/>
  <c r="AF22" i="1"/>
  <c r="AN121" i="1"/>
  <c r="AN22" i="1" s="1"/>
  <c r="AH23" i="1"/>
  <c r="S30" i="1"/>
  <c r="S28" i="1" s="1"/>
  <c r="S27" i="1" s="1"/>
  <c r="S19" i="1" s="1"/>
  <c r="T30" i="1"/>
  <c r="T28" i="1" s="1"/>
  <c r="T27" i="1" s="1"/>
  <c r="T19" i="1" s="1"/>
  <c r="T82" i="1"/>
  <c r="Q53" i="1"/>
  <c r="Q52" i="1" s="1"/>
  <c r="AN43" i="1"/>
  <c r="AN61" i="1"/>
  <c r="AN135" i="1"/>
  <c r="S135" i="1" s="1"/>
  <c r="AN40" i="1"/>
  <c r="AF52" i="1"/>
  <c r="AF27" i="1" s="1"/>
  <c r="AF19" i="1" s="1"/>
  <c r="AN53" i="1"/>
  <c r="Y71" i="1"/>
  <c r="P89" i="1" l="1"/>
  <c r="P88" i="1" s="1"/>
  <c r="P59" i="1"/>
  <c r="P58" i="1" s="1"/>
  <c r="Y59" i="1"/>
  <c r="Y58" i="1" s="1"/>
  <c r="Y57" i="1" s="1"/>
  <c r="P28" i="1"/>
  <c r="P27" i="1" s="1"/>
  <c r="Q27" i="1"/>
  <c r="Q19" i="1" s="1"/>
  <c r="AH22" i="1"/>
  <c r="AN52" i="1"/>
  <c r="S58" i="1"/>
  <c r="S57" i="1" s="1"/>
  <c r="T58" i="1"/>
  <c r="T57" i="1" s="1"/>
  <c r="Q58" i="1"/>
  <c r="P57" i="1" l="1"/>
  <c r="P19" i="1"/>
  <c r="Q57" i="1"/>
  <c r="Q26" i="1" s="1"/>
  <c r="AN120" i="1"/>
  <c r="T26" i="1"/>
  <c r="T20" i="1"/>
  <c r="T18" i="1" s="1"/>
  <c r="S20" i="1"/>
  <c r="Y26" i="1"/>
  <c r="Y20" i="1"/>
  <c r="Y18" i="1" s="1"/>
  <c r="AN27" i="1"/>
  <c r="AN19" i="1" s="1"/>
  <c r="Q20" i="1" l="1"/>
  <c r="AN119" i="1"/>
  <c r="Q18" i="1" l="1"/>
  <c r="R58" i="1"/>
  <c r="R57" i="1" s="1"/>
  <c r="AH21" i="1"/>
  <c r="AN118" i="1"/>
  <c r="AN21" i="1" s="1"/>
  <c r="J82" i="1"/>
  <c r="J58" i="1" s="1"/>
  <c r="J57" i="1" s="1"/>
  <c r="R20" i="1" l="1"/>
  <c r="R26" i="1"/>
  <c r="AN117" i="1"/>
  <c r="J26" i="1"/>
  <c r="J20" i="1"/>
  <c r="J18" i="1" s="1"/>
  <c r="AN83" i="1"/>
  <c r="R18" i="1" l="1"/>
  <c r="P20" i="1"/>
  <c r="AN116" i="1"/>
  <c r="AN68" i="1"/>
  <c r="AN115" i="1" l="1"/>
  <c r="AM66" i="1"/>
  <c r="AM125" i="1"/>
  <c r="AC24" i="1"/>
  <c r="AD24" i="1"/>
  <c r="AC57" i="1"/>
  <c r="AC20" i="1" s="1"/>
  <c r="AD57" i="1"/>
  <c r="AM91" i="1"/>
  <c r="AM90" i="1"/>
  <c r="AM129" i="1"/>
  <c r="AM92" i="1"/>
  <c r="AN125" i="1"/>
  <c r="S125" i="1" s="1"/>
  <c r="AN67" i="1"/>
  <c r="AD20" i="1" l="1"/>
  <c r="AD18" i="1" s="1"/>
  <c r="P125" i="1"/>
  <c r="AM69" i="1"/>
  <c r="AG59" i="1"/>
  <c r="AG58" i="1" s="1"/>
  <c r="AG57" i="1" s="1"/>
  <c r="AC18" i="1"/>
  <c r="AN114" i="1"/>
  <c r="AM126" i="1"/>
  <c r="AM124" i="1"/>
  <c r="AC26" i="1"/>
  <c r="AD26" i="1"/>
  <c r="AB82" i="1"/>
  <c r="AB58" i="1" s="1"/>
  <c r="AB57" i="1" s="1"/>
  <c r="AA82" i="1"/>
  <c r="AA58" i="1" s="1"/>
  <c r="AA57" i="1" s="1"/>
  <c r="AN128" i="1"/>
  <c r="P128" i="1" s="1"/>
  <c r="AM128" i="1"/>
  <c r="AN70" i="1"/>
  <c r="AM127" i="1"/>
  <c r="AN132" i="1"/>
  <c r="S132" i="1" s="1"/>
  <c r="P132" i="1" s="1"/>
  <c r="AN131" i="1"/>
  <c r="S131" i="1" s="1"/>
  <c r="P131" i="1" s="1"/>
  <c r="AJ95" i="1"/>
  <c r="AJ89" i="1" s="1"/>
  <c r="AN63" i="1"/>
  <c r="AF59" i="1"/>
  <c r="AN69" i="1"/>
  <c r="AN129" i="1"/>
  <c r="S129" i="1" s="1"/>
  <c r="P129" i="1" s="1"/>
  <c r="AJ88" i="1" l="1"/>
  <c r="AN62" i="1"/>
  <c r="AJ58" i="1"/>
  <c r="AN113" i="1"/>
  <c r="AG26" i="1"/>
  <c r="AG20" i="1"/>
  <c r="AG18" i="1" s="1"/>
  <c r="AA26" i="1"/>
  <c r="AA20" i="1"/>
  <c r="AA18" i="1" s="1"/>
  <c r="AB26" i="1"/>
  <c r="AB20" i="1"/>
  <c r="AF58" i="1"/>
  <c r="AB18" i="1" l="1"/>
  <c r="AN112" i="1"/>
  <c r="AF57" i="1"/>
  <c r="AF20" i="1" l="1"/>
  <c r="AN111" i="1"/>
  <c r="AJ57" i="1"/>
  <c r="AN110" i="1" l="1"/>
  <c r="AJ20" i="1"/>
  <c r="AN109" i="1" l="1"/>
  <c r="AN108" i="1" l="1"/>
  <c r="AN107" i="1" l="1"/>
  <c r="AN106" i="1" l="1"/>
  <c r="AN105" i="1" l="1"/>
  <c r="AN103" i="1" l="1"/>
  <c r="AN100" i="1" s="1"/>
  <c r="AN94" i="1" l="1"/>
  <c r="AN95" i="1"/>
  <c r="AN93" i="1" l="1"/>
  <c r="AN92" i="1" l="1"/>
  <c r="AN91" i="1" l="1"/>
  <c r="AN90" i="1" l="1"/>
  <c r="AN89" i="1" s="1"/>
  <c r="AN88" i="1" s="1"/>
  <c r="AH82" i="1" l="1"/>
  <c r="AN82" i="1" s="1"/>
  <c r="AN85" i="1"/>
  <c r="AH58" i="1" l="1"/>
  <c r="AH57" i="1" l="1"/>
  <c r="AH51" i="1"/>
  <c r="AH26" i="1" l="1"/>
  <c r="AN51" i="1"/>
  <c r="AH50" i="1"/>
  <c r="AH20" i="1"/>
  <c r="AH18" i="1" s="1"/>
  <c r="AN50" i="1" l="1"/>
  <c r="AH49" i="1"/>
  <c r="AN49" i="1" l="1"/>
  <c r="AH48" i="1"/>
  <c r="AN48" i="1" l="1"/>
  <c r="AH47" i="1"/>
  <c r="AH42" i="1"/>
  <c r="AN42" i="1" l="1"/>
  <c r="AH41" i="1"/>
  <c r="AN41" i="1" s="1"/>
  <c r="AN47" i="1"/>
  <c r="AH46" i="1"/>
  <c r="AN46" i="1" l="1"/>
  <c r="AH45" i="1"/>
  <c r="AN45" i="1" l="1"/>
  <c r="AH44" i="1"/>
  <c r="AN44" i="1" s="1"/>
  <c r="P135" i="1" l="1"/>
  <c r="P136" i="1"/>
  <c r="P124" i="1" l="1"/>
  <c r="AF124" i="1" s="1"/>
  <c r="P126" i="1"/>
  <c r="AF126" i="1" s="1"/>
  <c r="AN126" i="1" s="1"/>
  <c r="P127" i="1"/>
  <c r="AF127" i="1" s="1"/>
  <c r="AN127" i="1" s="1"/>
  <c r="AF123" i="1" l="1"/>
  <c r="AN124" i="1"/>
  <c r="AF26" i="1" l="1"/>
  <c r="AF24" i="1"/>
  <c r="AF18" i="1" s="1"/>
  <c r="AK71" i="1"/>
  <c r="AL71" i="1" s="1"/>
  <c r="AN71" i="1" s="1"/>
  <c r="AK72" i="1"/>
  <c r="AL72" i="1" s="1"/>
  <c r="AN72" i="1" s="1"/>
  <c r="AI130" i="1"/>
  <c r="AM130" i="1" s="1"/>
  <c r="AJ130" i="1" l="1"/>
  <c r="AM72" i="1"/>
  <c r="AM71" i="1"/>
  <c r="AI131" i="1"/>
  <c r="AM131" i="1" s="1"/>
  <c r="AI132" i="1"/>
  <c r="AM132" i="1" s="1"/>
  <c r="AJ123" i="1" l="1"/>
  <c r="AN130" i="1"/>
  <c r="S130" i="1" s="1"/>
  <c r="P130" i="1" s="1"/>
  <c r="AI123" i="1"/>
  <c r="AI24" i="1" s="1"/>
  <c r="AK133" i="1"/>
  <c r="AM133" i="1" s="1"/>
  <c r="AM123" i="1" s="1"/>
  <c r="AL133" i="1" l="1"/>
  <c r="AN133" i="1" s="1"/>
  <c r="AJ24" i="1"/>
  <c r="AJ18" i="1" s="1"/>
  <c r="AJ26" i="1"/>
  <c r="AN123" i="1"/>
  <c r="AN24" i="1" s="1"/>
  <c r="S133" i="1"/>
  <c r="AM24" i="1"/>
  <c r="AK123" i="1"/>
  <c r="AK24" i="1" s="1"/>
  <c r="AL123" i="1"/>
  <c r="AL24" i="1" s="1"/>
  <c r="P133" i="1" l="1"/>
  <c r="P123" i="1" s="1"/>
  <c r="P26" i="1" s="1"/>
  <c r="S123" i="1"/>
  <c r="S26" i="1" l="1"/>
  <c r="S24" i="1"/>
  <c r="P24" i="1" l="1"/>
  <c r="S18" i="1"/>
  <c r="P18" i="1" s="1"/>
  <c r="M53" i="1" l="1"/>
  <c r="M52" i="1"/>
  <c r="M27" i="1" s="1"/>
  <c r="M26" i="1" l="1"/>
  <c r="M19" i="1"/>
  <c r="M18" i="1" s="1"/>
  <c r="AI62" i="1"/>
  <c r="AM62" i="1" s="1"/>
  <c r="AI63" i="1"/>
  <c r="AM63" i="1" s="1"/>
  <c r="AK64" i="1"/>
  <c r="AK59" i="1" s="1"/>
  <c r="AK58" i="1" s="1"/>
  <c r="AK57" i="1" s="1"/>
  <c r="AL64" i="1"/>
  <c r="AN64" i="1" s="1"/>
  <c r="AL59" i="1" l="1"/>
  <c r="AL58" i="1" s="1"/>
  <c r="AM64" i="1"/>
  <c r="AL57" i="1"/>
  <c r="AN58" i="1"/>
  <c r="AK20" i="1"/>
  <c r="AK18" i="1" s="1"/>
  <c r="AK26" i="1"/>
  <c r="AN59" i="1"/>
  <c r="AL20" i="1" l="1"/>
  <c r="AL18" i="1" s="1"/>
  <c r="AN57" i="1"/>
  <c r="AN20" i="1" s="1"/>
  <c r="AN18" i="1" s="1"/>
  <c r="AL26" i="1"/>
  <c r="AN26" i="1" s="1"/>
  <c r="AI70" i="1"/>
  <c r="AM70" i="1" s="1"/>
  <c r="AI59" i="1"/>
  <c r="AI58" i="1" s="1"/>
  <c r="AM59" i="1" l="1"/>
  <c r="AM58" i="1"/>
  <c r="AI93" i="1"/>
  <c r="AM93" i="1" s="1"/>
  <c r="AI94" i="1"/>
  <c r="AM94" i="1" s="1"/>
  <c r="AM89" i="1" l="1"/>
  <c r="AM88" i="1" s="1"/>
  <c r="AI89" i="1"/>
  <c r="AI88" i="1" s="1"/>
  <c r="AI57" i="1" s="1"/>
  <c r="AM57" i="1" l="1"/>
  <c r="AM20" i="1" s="1"/>
  <c r="AM18" i="1" s="1"/>
  <c r="AI20" i="1"/>
  <c r="AI18" i="1" s="1"/>
  <c r="AI26" i="1"/>
  <c r="AM26" i="1" s="1"/>
</calcChain>
</file>

<file path=xl/sharedStrings.xml><?xml version="1.0" encoding="utf-8"?>
<sst xmlns="http://schemas.openxmlformats.org/spreadsheetml/2006/main" count="1045" uniqueCount="407">
  <si>
    <t>Приложение  № 3</t>
  </si>
  <si>
    <t>к приказу Минэнерго России</t>
  </si>
  <si>
    <t>от «__» _____ 2016 г. №___</t>
  </si>
  <si>
    <r>
      <t>Инвестиционная программ</t>
    </r>
    <r>
      <rPr>
        <sz val="14"/>
        <rFont val="Times New Roman"/>
        <family val="1"/>
        <charset val="204"/>
      </rPr>
      <t xml:space="preserve">а Общества с ограниченной ответственностью Холдинговая Компания "СДС-Энерго" </t>
    </r>
  </si>
  <si>
    <t xml:space="preserve">  Наименование инвестиционного проекта (группы инвестиционных проектов)</t>
  </si>
  <si>
    <t xml:space="preserve">Текущая стадия реализации инвестиционного проекта  </t>
  </si>
  <si>
    <t>Год начала  реализации инвестиционного проекта</t>
  </si>
  <si>
    <t>Год окончания реализации инвестиционного проекта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</si>
  <si>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</si>
  <si>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
млн рублей (без НДС)</t>
  </si>
  <si>
    <t>Остаток освоения капитальных вложений, 
млн рублей (без НДС)</t>
  </si>
  <si>
    <t>Освоение капитальных вложений в прогнозных ценах соответствующих лет, млн рублей  (без НДС)</t>
  </si>
  <si>
    <t>Предложение по корректировке утвержденного плана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</si>
  <si>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</si>
  <si>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</si>
  <si>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</si>
  <si>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</si>
  <si>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</si>
  <si>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</si>
  <si>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</si>
  <si>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>1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</si>
  <si>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</si>
  <si>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</si>
  <si>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</si>
  <si>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</si>
  <si>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</si>
  <si>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</si>
  <si>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</si>
  <si>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</si>
  <si>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</si>
  <si>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</si>
  <si>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</si>
  <si>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</si>
  <si>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</si>
  <si>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</si>
  <si>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</si>
  <si>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</si>
  <si>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</si>
  <si>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</si>
  <si>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</si>
  <si>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</si>
  <si>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</si>
  <si>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</si>
  <si>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</si>
  <si>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</si>
  <si>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</si>
  <si>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</si>
  <si>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</si>
  <si>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</si>
  <si>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</si>
  <si>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</si>
  <si>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</si>
  <si>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</si>
  <si>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</si>
  <si>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</si>
  <si>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</si>
  <si>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</si>
  <si>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</si>
  <si>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</si>
  <si>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</si>
  <si>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</si>
  <si>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</si>
  <si>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</si>
  <si>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</si>
  <si>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</si>
  <si>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</si>
  <si>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</si>
  <si>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</si>
  <si>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</si>
  <si>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</si>
  <si>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</si>
  <si>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</si>
  <si>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</si>
  <si>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</si>
  <si>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</si>
  <si>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</si>
  <si>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</si>
  <si>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</si>
  <si>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</si>
  <si>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</si>
  <si>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</si>
  <si>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</si>
  <si>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</si>
  <si>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</si>
  <si>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</si>
  <si>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</si>
  <si>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</si>
  <si>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</si>
  <si>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</si>
  <si>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</si>
  <si>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</si>
  <si>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</si>
  <si>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</si>
  <si>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</si>
  <si>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</si>
  <si>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</si>
  <si>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</si>
  <si>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</si>
  <si>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</si>
  <si>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</si>
  <si>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</si>
  <si>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</si>
  <si>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нд</t>
  </si>
  <si>
    <t>Кемеровская область</t>
  </si>
  <si>
    <t>Г</t>
  </si>
  <si>
    <t>1.2.1.1.1</t>
  </si>
  <si>
    <t>1.2.1.1.2</t>
  </si>
  <si>
    <t>1.2.1.1.3</t>
  </si>
  <si>
    <t>1.6.1</t>
  </si>
  <si>
    <t>1.6.2</t>
  </si>
  <si>
    <t>1.6.3</t>
  </si>
  <si>
    <t>Н</t>
  </si>
  <si>
    <t>1.6.4</t>
  </si>
  <si>
    <t>реквизиты решения органа исполнительной власти, утвердившего инвестиционную программу</t>
  </si>
  <si>
    <t>полное наименование субъекта электроэнергетики</t>
  </si>
  <si>
    <t>Идентификатор инвестиционного проекта</t>
  </si>
  <si>
    <t>Номер группы инвестиционных проектов</t>
  </si>
  <si>
    <t>1.2.1.1.4</t>
  </si>
  <si>
    <t>1.2.1.1.5</t>
  </si>
  <si>
    <t>1.2.1.1.6</t>
  </si>
  <si>
    <t>1.2.1.2.1.1</t>
  </si>
  <si>
    <t>1.2.1.2.1.2</t>
  </si>
  <si>
    <t>1.6.5</t>
  </si>
  <si>
    <t>1.6.6</t>
  </si>
  <si>
    <t>1.2.1.1.7</t>
  </si>
  <si>
    <t>1.1.4.1.1</t>
  </si>
  <si>
    <t>Форма 3. План освоения капитальных вложений по инвестиционным проектам на 2020-2024 гг.</t>
  </si>
  <si>
    <t xml:space="preserve">2020 год </t>
  </si>
  <si>
    <t>2021 год</t>
  </si>
  <si>
    <t>2022 год</t>
  </si>
  <si>
    <t>2023 год</t>
  </si>
  <si>
    <t>2024 год</t>
  </si>
  <si>
    <t>1.2.1.1.8</t>
  </si>
  <si>
    <t>1.2.1.1.9</t>
  </si>
  <si>
    <t>1.2.1.1.10</t>
  </si>
  <si>
    <t>1.2.1.1.11</t>
  </si>
  <si>
    <t>1.2.1.1.12</t>
  </si>
  <si>
    <t>1.2.1.1.13</t>
  </si>
  <si>
    <t>1.2.1.1.14</t>
  </si>
  <si>
    <t>1.2.1.1.15</t>
  </si>
  <si>
    <t>Замена отработавшего срок эксплуатации трансформатора Т-2 ТДНС-10000 кВА 35/6 кВ на ПС 35/6 кВ № 10. (СМР, ПНР, ввод - 2023 г.)</t>
  </si>
  <si>
    <t xml:space="preserve">Замена отработавшего срок эксплуатации трансформатора Т-3 ТДНС-10000 кВА 35/6 кВ на ПС 35/6 кВ № 42 (СМР, ПНР, ввод - 2023 г.) </t>
  </si>
  <si>
    <t>Замена отработавшего срок эксплуатации трансформатора Т-2 ТДНС-10000 кВА  на ПС 110/10 кВ "Керамзитовая (СМР, ПНР, ввод - 2024 г.)</t>
  </si>
  <si>
    <t>Реконструкция ОРУ-35 кВ и ЗРУ-6 кВ ПС 35/6 кВ № 10. Замена выключателей 35 кВ и вводных выключателей 6кВ, устройств РЗиА 35кВ и 6кВ. (ПИР, СМР, ПНР, ввод - 2020 г.)</t>
  </si>
  <si>
    <t>Реконструкция ПС  35/6 кВ № 1 ЗРУ-35 с заменой масляных выключателей 35 на вакуумные, установка ШОТ.(ПИР, СМР, ПНР, ввод - 2023 г.)</t>
  </si>
  <si>
    <t>Реконструкция ОРУ-35 кВ ПС 35/6 кВ № 41 с установкой блок-модуля 35 кВ (СМР, ПНР, ввод - 2024 г.)</t>
  </si>
  <si>
    <t>Реконструкция ЗРУ-6 кВ ПС 6/0,4 кВ № 32 с устройствами РЗиА,  установкой ШОТ (СМР, ПНР, ввод - 2024 г.)</t>
  </si>
  <si>
    <t>Выполнение работ по модернизации системы телемеханики на ПС 110/6,6/6,3 кВ "Набережная" (ПИР, ПНР, СМР, ввод- 2020 г.)</t>
  </si>
  <si>
    <t>Реконструкция сооружения ЛЭП 6 кВ 6-11-Тс проектными работами с заменой деревянных опор и провода на марку СИП и установкой реклоузеров (с технологией Smart Grid) на отходящих линиях (2 шт.) (ПИР, СМР, ПНР, ввод - 2020 г.)</t>
  </si>
  <si>
    <t>1.2.2.1.1</t>
  </si>
  <si>
    <t>Реконструкция сооружения ЛЭП 6 кВ ВЛ фид. 36 ПС 35/6 кВ № 5 с проектными работами с заменой провода на марку СИП и установкой реклоузеров (с технологией Smart Grid) на отходящих линиях (2 шт.) (ПИР, ПНР, СМР, ввод - 2020 г.)</t>
  </si>
  <si>
    <t>1.2.2.1.2</t>
  </si>
  <si>
    <t>1.2.2.1.3</t>
  </si>
  <si>
    <t>Реконструкция сооружения ЛЭП 6 кВ  10-1-П с проектными работами с заменой провода на марку СИП и установкой реклоузеров (с технологией Smart Grid) на отходящих линиях (3 шт.) (ПИР, СМР, ПНР, ввод - 2020 г.)</t>
  </si>
  <si>
    <t>Реконструкция соружения ЛЭП 6 кВ  6-52-П проектными работами с заменой провода на марку СИП и установкой реклоузеров (с технологией Smart Grid) на отходящих линиях (1 шт.) (ПИР, СМР, ПНР, ввод - 2023 г.)</t>
  </si>
  <si>
    <t>1.2.2.1.4</t>
  </si>
  <si>
    <t>1.2.2.1.5</t>
  </si>
  <si>
    <t>Реконструкция сооружения ЛЭП 6 кВ 6-3-М с проектными работами с заменой деревянных опор и провода на марку СИП и установкой реклоузеров (с технологией Smart Grid) на отходящих линиях (2 шт.) (ПИР, СМР, ПНР, ввод - 2023 г.)</t>
  </si>
  <si>
    <t>Замена испытательно-измерительного комплекса РЕТОМ-61 (ввод - 2021 г.)</t>
  </si>
  <si>
    <t>Замена аппарата для высоковольтных испытаний  АИД-70М (ввод - 2021 г.)</t>
  </si>
  <si>
    <t>Приобретение прибора Энергомонитор-3.3 Т1 —  для измерений электро-энергетических величин и показателей качества электроэнергии (ввод - 2021 г.)</t>
  </si>
  <si>
    <t>1.6.7</t>
  </si>
  <si>
    <t>1.6.8</t>
  </si>
  <si>
    <t>1.6.9</t>
  </si>
  <si>
    <t>1.6.10</t>
  </si>
  <si>
    <t>1.6.11</t>
  </si>
  <si>
    <t>1.6.12</t>
  </si>
  <si>
    <t>1.6.13</t>
  </si>
  <si>
    <t>Замена устаревшего и выработавшего свой срок парка радиостанций (технологическая связь) 35 штук. (СМР, ПНР, ввод - 2023 г.)</t>
  </si>
  <si>
    <t>Приобретение измельчителя веток (мульчер) на базе автомобильного прицепа (ввод - 2024 г.)</t>
  </si>
  <si>
    <t>Краткое обоснование плана</t>
  </si>
  <si>
    <t>Персональный компьютер - 2 шт. (ввод - 2021 г.)</t>
  </si>
  <si>
    <t>Приобретение сервера HP DL510 Gen10 (HPE-869847-b21) - 1 шт. (ввод - 2021 г.)</t>
  </si>
  <si>
    <t>Многофункциональное печатающее устройство - 1 шт. (ввод - 2023 г.)</t>
  </si>
  <si>
    <t>Сплит-система - 18 шт. (ввод - 2023 г.)</t>
  </si>
  <si>
    <t>K_1.1.4.1.1</t>
  </si>
  <si>
    <t>K_1.2.1.2.1</t>
  </si>
  <si>
    <t>K_1.2.1.2.2</t>
  </si>
  <si>
    <t>K_1.2.2.1.1</t>
  </si>
  <si>
    <t>K_1.2.2.1.2</t>
  </si>
  <si>
    <t>K_1.2.2.1.3</t>
  </si>
  <si>
    <t>N_1.2.2.1.4</t>
  </si>
  <si>
    <t>N_1.2.2.1.5</t>
  </si>
  <si>
    <t>L_1.6.2</t>
  </si>
  <si>
    <t>L_1.6.3</t>
  </si>
  <si>
    <t>L_1.6.4</t>
  </si>
  <si>
    <t>L_1.6.5</t>
  </si>
  <si>
    <t>N_1.6.8</t>
  </si>
  <si>
    <t>N_1.6.9</t>
  </si>
  <si>
    <t>J_1.1.1.3.3</t>
  </si>
  <si>
    <t>Реконструкции ОРУ-35 кВ (замена выключателей 35 кВ, установка разъединителей и предохранителей 35 кВ) ПС №31 (ПИР-2019 г., СМР, ПНР- 2020 г.)</t>
  </si>
  <si>
    <t>N_1.2.1.1.6</t>
  </si>
  <si>
    <t>N_1.2.1.1.7</t>
  </si>
  <si>
    <t>O_1.2.1.1.8</t>
  </si>
  <si>
    <t>J_1.2.1.1.9</t>
  </si>
  <si>
    <t>J_1.2.1.1.10</t>
  </si>
  <si>
    <t>K_1.2.1.1.11</t>
  </si>
  <si>
    <t>M_1.2.1.1.13</t>
  </si>
  <si>
    <t>N_1.2.1.1.14</t>
  </si>
  <si>
    <t>O_1.2.1.1.15</t>
  </si>
  <si>
    <t>O_1.2.1.1.16</t>
  </si>
  <si>
    <t>Реконструкция ЗРУ-35 кВ ПС 35/10 кВ "Танай". Замена ячеек КРУ-35 (ПИР - 2019 г., СМР, ПНР, ввод - 2021 г.)</t>
  </si>
  <si>
    <t>1.2.1.2.1.3</t>
  </si>
  <si>
    <t>J_1.2.1.2.3</t>
  </si>
  <si>
    <t>Система хранения данных - 1 шт. (ввод - 2020 г.)</t>
  </si>
  <si>
    <t>К_1.6.6</t>
  </si>
  <si>
    <t>L_1.6.1</t>
  </si>
  <si>
    <t>N_1.6.7</t>
  </si>
  <si>
    <t>O_1.6.10</t>
  </si>
  <si>
    <t>M_1.6.12</t>
  </si>
  <si>
    <t>O_1.6.13</t>
  </si>
  <si>
    <t>Замена отработавшего срок эксплуатации трансформатора Т-2 ТДНС-16000 кВА 35/6 кВ на ПС 35/6 кВ  "Шурапская"(СМР, ПНР, ввод - 2023 г.)</t>
  </si>
  <si>
    <t>Замена отработавшего срок эксплуатации трансформатора Т-1 ТДН-15000 кВА 35/6 кВ на ТДН-10000 кВА 35/6 на ПС 35/6 кВ № 5 (СМР, ПНР, ввод - 2024 г.)</t>
  </si>
  <si>
    <t>Реконструкции ЗРУ-10 кВ,  ПС 110/10 кВ "Керамзитовая". Замена ячеек КРУ-10.(ПИР - 2021 г., СМР, ПНР, ввод - 2022 г.)</t>
  </si>
  <si>
    <t>Замена трансформатора ТДНГУ –63000/110 на ПС АЗОТ(СМР, ПНР, ввод-2020 г.)</t>
  </si>
  <si>
    <t>K_1.2.1.1.15</t>
  </si>
  <si>
    <t>Итого за период реализации инвестиционной программы
(Предложение по корректировке утвержденного плана)</t>
  </si>
  <si>
    <t>N_1.2.1.1.2</t>
  </si>
  <si>
    <t>O_1.2.1.1.4</t>
  </si>
  <si>
    <t>L_1.2.1.1.12</t>
  </si>
  <si>
    <t>Утвержденный план</t>
  </si>
  <si>
    <t xml:space="preserve">Утвержденный план </t>
  </si>
  <si>
    <t xml:space="preserve">Утвержденный план 
</t>
  </si>
  <si>
    <t>Итого за период реализации инвестиционной программы
(Утвержденный план )</t>
  </si>
  <si>
    <t>K_1.1.1.3.4</t>
  </si>
  <si>
    <t>1.6.14</t>
  </si>
  <si>
    <t>К_1.6.14</t>
  </si>
  <si>
    <t>1.1.4.2.1</t>
  </si>
  <si>
    <t>K_1.1.4.2.1</t>
  </si>
  <si>
    <t>1.1.1.3.1</t>
  </si>
  <si>
    <t>1.1.1.3.2</t>
  </si>
  <si>
    <t>1.2.1.2.3</t>
  </si>
  <si>
    <t>Cтроительство системы передачи информации (организации каналов связи) для оборудования средств диспетчерского и технологического управления (СДТУ) между ПС 110 кВ Набережная, ПС 110 кВ Листвяжная и  Филиалом АО «СО ЕЭС» Кемеровское РДУ (ПИР, СМР, ввод-2021)</t>
  </si>
  <si>
    <t>L_1.2.1.2.3</t>
  </si>
  <si>
    <t>1.2.2.1.6</t>
  </si>
  <si>
    <t>L_1.2.2.1.6</t>
  </si>
  <si>
    <t>1.1.1.3.4</t>
  </si>
  <si>
    <t>1.1.1.3.5</t>
  </si>
  <si>
    <t>L_1.1.1.3.4</t>
  </si>
  <si>
    <t>Освоение капитальных вложений года 2019 в прогнозных ценах соответствующих лет, млн рублей (без НДС)</t>
  </si>
  <si>
    <t xml:space="preserve">План 
</t>
  </si>
  <si>
    <t>Факт</t>
  </si>
  <si>
    <t>29.1</t>
  </si>
  <si>
    <t>29.2</t>
  </si>
  <si>
    <t>29.3</t>
  </si>
  <si>
    <t>29.4</t>
  </si>
  <si>
    <t>29.5</t>
  </si>
  <si>
    <t>29.6</t>
  </si>
  <si>
    <t>29.7</t>
  </si>
  <si>
    <t>29.8</t>
  </si>
  <si>
    <t>29.9</t>
  </si>
  <si>
    <t>29.10</t>
  </si>
  <si>
    <t>Строительство ПС 35 кВ ПУР и двухцепной отпайки от ВЛ 35 кВ Прокопьевская-Зиминка 3/4 до новой ПС 35 кВ ПУР (ПИР- 2020г., СМР, ввод-2021г.)</t>
  </si>
  <si>
    <t>Строительство КЛ 10 кВ от ПС 110 кВ Керамзитовая для ТСО Сибирь (ПИР- 2020г., СМР, ввод-2021г.)</t>
  </si>
  <si>
    <t>Строительство ВЛ-6 кВ от ПС №5 (ПИР, СМР, ввод -2021 г.)</t>
  </si>
  <si>
    <t>Строительство ВЛ 110 кВ Соколовская-Вольная-2 (1 этап: ПИР-2019г., СМР, ввод-2020г.; 2 этап: ПИР, СМР, ввод - 2021г.)</t>
  </si>
  <si>
    <t>Реконструкция Временной воздушной линии 10 кВ и ТП 336 (Танай) с заменой деревянных опор на железобетонные, заменой провода на СИП и установкой реклоузера на отходящих линиях (ПИР, СМР, ввод -2021 г.)</t>
  </si>
  <si>
    <t>С</t>
  </si>
  <si>
    <t>1З, 2С</t>
  </si>
  <si>
    <t>З</t>
  </si>
  <si>
    <t>И</t>
  </si>
  <si>
    <t>L_1.1.1.3.5</t>
  </si>
  <si>
    <t>Реконструкция ТП-3 (ПИР, СМР, ввод 2020г)</t>
  </si>
  <si>
    <t>Выполнение работ по модернизации системы телемеханики на ПС 110/10 кВ "Керамзитовая" (ПИР -2019 г., ПНР, СМР, ввод - 2020 г.)</t>
  </si>
  <si>
    <t xml:space="preserve">Фактический объем освоения капитальных вложений на 01.01.2019 года, млн рублей 
(без НДС) </t>
  </si>
  <si>
    <t xml:space="preserve">Утвержденный план на 01.01.2019 года </t>
  </si>
  <si>
    <t>ВСЕГО по инвестиционной программе, в том числе: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</si>
  <si>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</si>
  <si>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</si>
  <si>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</si>
  <si>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</si>
  <si>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</si>
  <si>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</si>
  <si>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</si>
  <si>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</si>
  <si>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</si>
  <si>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</si>
  <si>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</si>
  <si>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</si>
  <si>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1.2.2.2.1</t>
  </si>
  <si>
    <t>Строительство отпайки от ЛЭП-6кВ 6-52-П для ПС №25</t>
  </si>
  <si>
    <t>K_1.2.2.2.1</t>
  </si>
  <si>
    <t>1.2.2.2.2</t>
  </si>
  <si>
    <t>Строительство отпайки от 2-х цепной ЛЭП-10кВ ф.2.4 для ПС №22</t>
  </si>
  <si>
    <t>K_1.2.2.2.2</t>
  </si>
  <si>
    <t>1.6.15</t>
  </si>
  <si>
    <t>1.6.16</t>
  </si>
  <si>
    <t>L_1.6.15</t>
  </si>
  <si>
    <t>L_1.6.16</t>
  </si>
  <si>
    <t>Строительство ЛЭП 6 кВ от ячейки №14 ПС 6 кВ №8 (СМР, ввод - 2022 г.)</t>
  </si>
  <si>
    <t>Реконструкция ЗРУ-35 кВ ПС 35/6 кВ "ОГР" с заменой ячеек КРУ-35. (ПИР - 2022 г.СМР, ПНР, ввод - 2023 г.)</t>
  </si>
  <si>
    <t>Замена отработавшего срок эксплуатации трансформатора Т-3 ТДНГУ-40000 кВА 110/6 кВ на ПС 110/6 кВ "Азот-2" - 1 шт. (СМР, ПНР, ввод - 2022 г.)</t>
  </si>
  <si>
    <t>1.2.1.1.16</t>
  </si>
  <si>
    <t>М_1.1.1.3.5</t>
  </si>
  <si>
    <t>М_1.6.17</t>
  </si>
  <si>
    <t>1.6.17</t>
  </si>
  <si>
    <t>М_1.2.1.1.16</t>
  </si>
  <si>
    <t>Строительство ВЛ-6 кВ от ПС Вольная (ПИР, СМР, ввод -2021 г.)/ Строительство двух двухцепных ЛЭП 6 кВ от линейных ячеек РУ 6 кВ ПС 110 кВ Вольная (ПИР - 2021 г., СМР, ввод - 2022 г.)</t>
  </si>
  <si>
    <t>Выкуп ВЛ Вольная</t>
  </si>
  <si>
    <t>Выкуп ПС Вольная</t>
  </si>
  <si>
    <t>Выкуп ВЛ ОГР</t>
  </si>
  <si>
    <t>K_1.6.11</t>
  </si>
  <si>
    <t>Приобретение  АИД-70М</t>
  </si>
  <si>
    <t>Проектирование и монтаж системы охранной сигнализации на ПС 6кВ №11(ПИР, СМР, ввод-2021г.)</t>
  </si>
  <si>
    <t>Проектирование и монтаж системы охранной сигнализации на ПС 6кВ №26(ПИР, СМР, ввод-2021г.)</t>
  </si>
  <si>
    <t>Дооборудование ПС 35 кВ "ПУР" системой автоматической пожарной сигнализации, системой оповещения и управления эвакуацией людей при пожаре и проведение пусконаладочных работ (СМР, ввод - 2022 г.)</t>
  </si>
  <si>
    <t>1.2.2.2.3</t>
  </si>
  <si>
    <t>Строительство cооружение линейное электротехническое: ВЛЗ-6 кВ ф.2 ПС №10 (ПИР, СМР, ввод - 2022 г.)</t>
  </si>
  <si>
    <t>М_1.2.2.2.3</t>
  </si>
  <si>
    <t>1.2.2.2.4</t>
  </si>
  <si>
    <t>Строительство cооружение линейное электротехническое: ВЛЗ-6 кВ ф.4 ПС №10 (ПИР, СМР, ввод - 2022 г.)</t>
  </si>
  <si>
    <t>М_1.2.2.2.4</t>
  </si>
  <si>
    <t>1.2.2.2.5</t>
  </si>
  <si>
    <t>Строительство сооружение линейное электротехническое: Отпайка от ВЛЗ-10 кВ ф. 10-1-П (ПИР, СМР, ввод - 2022 г.)</t>
  </si>
  <si>
    <t>М_1.2.2.2.5</t>
  </si>
  <si>
    <t>1.1.1.3.3</t>
  </si>
  <si>
    <t>Выполнение проектных работ по созданию информационно вычислительного комплекса объекта энергетики (ИВКЭ)/Строительство интеллектуальной системы учета электроэнергии коттеджного поселка "Журавлевы горы" (ПИР - 2021 г., СМР, ввод - 2023 г.)</t>
  </si>
  <si>
    <t>Год раскрытия информации: 2023 год</t>
  </si>
  <si>
    <t>Строительство двух  ЛЭП 6кВ от линейных ячеек РУ 6 кВ ПС 35 кВ "Горная"  (ПИР, СМР, ввод - 2022 г.)</t>
  </si>
  <si>
    <t>М_1.1.1.3.7</t>
  </si>
  <si>
    <t>Строительство ЛЭП 6 кВ от опоры ЛЭП 6 кВ ф.6-18 Н ПС 110/6 кВ №37
 (ПИР, СМР - 2023 г.)</t>
  </si>
  <si>
    <t>N_1.1.1.3.7</t>
  </si>
  <si>
    <t>Строительство двух ЛЭП 10 кВ от линейных ячеек РУ 10 кВ ПС 110 кВ Керамзитовая (ПИР, СМР - 2023 г.)</t>
  </si>
  <si>
    <t>N_1.1.1.3.8</t>
  </si>
  <si>
    <t>1.1.1.3.6</t>
  </si>
  <si>
    <t>1.1.1.3.7</t>
  </si>
  <si>
    <t>1.1.1.3.8</t>
  </si>
  <si>
    <t>Утвержденный план 
на 01.01.2023 года</t>
  </si>
  <si>
    <t xml:space="preserve">Предложение по корректировке утвержденного плана на 01.01.2023 года </t>
  </si>
  <si>
    <t>N_1.2.1.1.17</t>
  </si>
  <si>
    <t xml:space="preserve">Замена отработавшей срок КТП 630 кВА (инв. №00003667) на новую СНТ Чистугаш (СМР, ввод - 2023 г.) </t>
  </si>
  <si>
    <t>N_1.2.1.1.18</t>
  </si>
  <si>
    <t>Замена отработавшей срок КТП 400 кВА (инв. №00003668) на новую СНТ Чистугаш (СМР, ввод - 2023 г.)</t>
  </si>
  <si>
    <t>N_1.2.1.1.19</t>
  </si>
  <si>
    <t>Реконструкции ПС 35/6кВ ПС №42 с заменой ВМ 35 кв, РЗА и вводных, секционных выключателей 6кВ(ПИР - 2023 г., СМР, ввод - 2024 г.)</t>
  </si>
  <si>
    <t>N_1.2.1.1.20</t>
  </si>
  <si>
    <t>Реконструкция подстанции 35/6 кВ  №6 в части замены РЗА (ПИР, СМР, ввод - 2023 г.)</t>
  </si>
  <si>
    <t>N_1.2.1.1.21</t>
  </si>
  <si>
    <t>Реконструкции ЗРУ-10 кВ,  ПС 110/10 кВ "Керамзитовая". Замена ячееки КРУ-10.(СМР, ПНР, ввод - 2023 г.)</t>
  </si>
  <si>
    <t>N_1.2.1.1.22</t>
  </si>
  <si>
    <t>Приобретение пункта автоматического регулирования напряжения для ВЛ-10 кВ п. Усть-Серта (ввод - 2023 г.)</t>
  </si>
  <si>
    <t>N_1.2.1.1.23</t>
  </si>
  <si>
    <t>1.2.1.1.17</t>
  </si>
  <si>
    <t>1.2.1.1.18</t>
  </si>
  <si>
    <t>1.2.1.1.19</t>
  </si>
  <si>
    <t>1.2.1.1.20</t>
  </si>
  <si>
    <t>1.2.1.1.21</t>
  </si>
  <si>
    <t>1.2.1.1.22</t>
  </si>
  <si>
    <t>Строительство интеллектуальной системы учета электроэнергии СНТ "Чистугаш"(ПИР, СМР, ввод - 2023 г.)</t>
  </si>
  <si>
    <t>N_1.2.1.2.2</t>
  </si>
  <si>
    <t>Реконструкция  ЛЭП 0,4 кВ "сектор Б" (инв. №00003663) с заменой деревянных опор и провода на марку СИП (ПИР, СМР, ввод - 2023г.)</t>
  </si>
  <si>
    <t>N_1.2.2.1.7</t>
  </si>
  <si>
    <t>Реконструкция  ЛЭП 0,4 кВ "сектор В" (инв. №00003664) с заменой деревянных опор и провода на марку СИП (ПИР, СМР, ввод - 2023г.)</t>
  </si>
  <si>
    <t>N_1.2.2.1.8</t>
  </si>
  <si>
    <t>Реконструкция  ЛЭП 0,4 кВ "сектор Г" (инв. №00003665) с заменой деревянных опор и провода на марку СИП (ПИР, СМР, ввод - 2023 г.)</t>
  </si>
  <si>
    <t>N_1.2.2.1.9</t>
  </si>
  <si>
    <t>Реконструкция  ЛЭП 0,4 кВ "сектор Д" (инв. №00003666) с заменой деревянных опор и провода на марку СИП (ПИР, СМР, ввод - 2023 г.)</t>
  </si>
  <si>
    <t>N_1.2.2.1.10</t>
  </si>
  <si>
    <t>1.2.1.2.4</t>
  </si>
  <si>
    <t>1.2.2.1.7</t>
  </si>
  <si>
    <t>1.2.2.1.8</t>
  </si>
  <si>
    <t>1.2.2.1.9</t>
  </si>
  <si>
    <t>1.2.2.1.10</t>
  </si>
  <si>
    <t>Приобретение прибора измерения сопротивления Виток (ввод - 2023 г.)</t>
  </si>
  <si>
    <t>N_1.6.18</t>
  </si>
  <si>
    <t>N_1.6.19</t>
  </si>
  <si>
    <t>Приобретение системы защиты персональных данных (ввод - 2023 г.)</t>
  </si>
  <si>
    <t>N_1.6.20</t>
  </si>
  <si>
    <t>1.6.18</t>
  </si>
  <si>
    <t>1.6.19</t>
  </si>
  <si>
    <t>1.6.20</t>
  </si>
  <si>
    <t>Приобретение источника бесперебойного питания 5кВт  (ввод - 2023 г.)</t>
  </si>
  <si>
    <t>Утвержденные плановые значения показателей приведены в соответствии с Постановлением Региональной энергетической комиссии Кемеровской области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</si>
  <si>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Целесообразно выполнение капитального ремонта</t>
  </si>
  <si>
    <t>Повышение надежности электроснабжения и обеспечение безперебойности работы оборудования</t>
  </si>
  <si>
    <t>Создание оперативного управления режимами, обеспечения технологической связи</t>
  </si>
  <si>
    <t>Обеспечение выполнения мероприятий, предусмотренных требованиями РД 153-34.3-35.613-00 (правила ТО РЗА)</t>
  </si>
  <si>
    <t>Обеспечение выполнения мероприятий, предусмотренных требованиями РД 34.45-51.300-97 (объем и нормы испытаний и измерений)</t>
  </si>
  <si>
    <t>Обеспечение выполнения мероприятий, предусмотренных требованиями ПТЭЭСиС</t>
  </si>
  <si>
    <t>Обновление аппаратно-программного комплекса</t>
  </si>
  <si>
    <t>Обеспечение надежного отказоустойчивого хранения данных</t>
  </si>
  <si>
    <t>Отсутствие необходимости</t>
  </si>
  <si>
    <t>-</t>
  </si>
  <si>
    <t>Обеспечение выполнения мероприятий, предусмотренных требованиями пожарной безопасности</t>
  </si>
  <si>
    <t>Осуществление технологического присоединения</t>
  </si>
  <si>
    <t>Устройство маслоприемников, маслоотводов и маслосборников закрытого типа на ПС 35/6 кВ № 41 для трансформаторов силовых ТДНС-10000/35 УХЛ1 (инв. №№ 00002126; 0002127). (ПИР, СМР, ввод - 2023 г.)</t>
  </si>
  <si>
    <t>Предписание от 21.04.2023 № 14-ЗН/А-ТСЭ-005 от 21.04.2023 ФЕДЕРАЛЬНАЯ СЛУЖБА  ПО ЭКОЛОГИЧЕСКОМУ, ТЕХНОЛОГИЧЕСКОМУ  И АТОМНОМУ НАДЗОРУ
Сибирское управление Ростехнадзора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</si>
  <si>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</si>
  <si>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</si>
  <si>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</si>
  <si>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</si>
  <si>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</si>
  <si>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</si>
  <si>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</si>
  <si>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</si>
  <si>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</si>
  <si>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</si>
  <si>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</si>
  <si>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</si>
  <si>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</si>
  <si>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</si>
  <si>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</si>
  <si>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</si>
  <si>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</si>
  <si>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10:53:34 UTC+07</t>
  </si>
  <si>
    <t>27.06.2023 11:40:15 UTC+07</t>
  </si>
  <si>
    <t>29.06.2023 14:33:57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</si>
</sst>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"/>
    <numFmt numFmtId="165" formatCode="0.00000"/>
    <numFmt numFmtId="166" formatCode="#,##0.000"/>
    <numFmt numFmtId="167" formatCode="0.0000000"/>
    <numFmt numFmtId="168" formatCode="0.000000000"/>
    <numFmt numFmtId="169" formatCode="0.000000000000"/>
    <numFmt numFmtId="170" formatCode="#,##0.00000"/>
    <numFmt numFmtId="171" formatCode="#,##0.0000000"/>
    <numFmt numFmtId="172" formatCode="0.000000"/>
    <numFmt numFmtId="173" formatCode="#,##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 applyFill="1"/>
    <xf numFmtId="0" fontId="3" fillId="0" borderId="0" xfId="1" applyFont="1" applyFill="1" applyAlignment="1">
      <alignment horizontal="right" vertical="center"/>
    </xf>
    <xf numFmtId="171" fontId="2" fillId="0" borderId="0" xfId="1" applyNumberFormat="1" applyFont="1" applyFill="1"/>
    <xf numFmtId="0" fontId="3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 vertical="center"/>
    </xf>
    <xf numFmtId="170" fontId="4" fillId="0" borderId="0" xfId="1" applyNumberFormat="1" applyFont="1" applyFill="1" applyAlignment="1">
      <alignment horizontal="center"/>
    </xf>
    <xf numFmtId="0" fontId="4" fillId="0" borderId="0" xfId="1" applyFont="1" applyFill="1" applyAlignment="1"/>
    <xf numFmtId="0" fontId="6" fillId="0" borderId="0" xfId="2" applyFont="1" applyFill="1" applyAlignment="1">
      <alignment vertical="center"/>
    </xf>
    <xf numFmtId="0" fontId="7" fillId="0" borderId="0" xfId="2" applyFont="1" applyFill="1" applyAlignment="1">
      <alignment vertical="top"/>
    </xf>
    <xf numFmtId="164" fontId="2" fillId="0" borderId="0" xfId="1" applyNumberFormat="1" applyFont="1" applyFill="1"/>
    <xf numFmtId="164" fontId="4" fillId="0" borderId="0" xfId="1" applyNumberFormat="1" applyFont="1" applyFill="1" applyAlignment="1">
      <alignment horizontal="center"/>
    </xf>
    <xf numFmtId="1" fontId="4" fillId="0" borderId="0" xfId="1" applyNumberFormat="1" applyFont="1" applyFill="1" applyAlignment="1">
      <alignment horizontal="center"/>
    </xf>
    <xf numFmtId="4" fontId="4" fillId="0" borderId="0" xfId="1" applyNumberFormat="1" applyFont="1" applyFill="1" applyAlignment="1">
      <alignment horizontal="center"/>
    </xf>
    <xf numFmtId="0" fontId="3" fillId="0" borderId="0" xfId="1" applyFont="1" applyFill="1" applyAlignment="1"/>
    <xf numFmtId="164" fontId="3" fillId="0" borderId="0" xfId="1" applyNumberFormat="1" applyFont="1" applyFill="1" applyAlignment="1"/>
    <xf numFmtId="168" fontId="3" fillId="0" borderId="0" xfId="1" applyNumberFormat="1" applyFont="1" applyFill="1" applyAlignment="1"/>
    <xf numFmtId="169" fontId="3" fillId="0" borderId="0" xfId="1" applyNumberFormat="1" applyFont="1" applyFill="1" applyAlignment="1"/>
    <xf numFmtId="167" fontId="3" fillId="0" borderId="0" xfId="1" applyNumberFormat="1" applyFont="1" applyFill="1" applyAlignment="1"/>
    <xf numFmtId="0" fontId="2" fillId="0" borderId="0" xfId="1" applyFont="1" applyFill="1" applyAlignment="1"/>
    <xf numFmtId="1" fontId="8" fillId="0" borderId="1" xfId="1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vertical="top"/>
    </xf>
    <xf numFmtId="165" fontId="8" fillId="0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vertical="top"/>
    </xf>
    <xf numFmtId="167" fontId="8" fillId="0" borderId="1" xfId="1" applyNumberFormat="1" applyFont="1" applyFill="1" applyBorder="1" applyAlignment="1">
      <alignment vertical="top"/>
    </xf>
    <xf numFmtId="172" fontId="8" fillId="0" borderId="1" xfId="1" applyNumberFormat="1" applyFont="1" applyFill="1" applyBorder="1" applyAlignment="1">
      <alignment vertical="top"/>
    </xf>
    <xf numFmtId="1" fontId="9" fillId="0" borderId="1" xfId="1" applyNumberFormat="1" applyFont="1" applyFill="1" applyBorder="1" applyAlignment="1">
      <alignment vertical="top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9" fontId="12" fillId="0" borderId="2" xfId="2" applyNumberFormat="1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2" applyNumberFormat="1" applyFont="1" applyFill="1" applyBorder="1" applyAlignment="1">
      <alignment horizontal="center" vertical="center"/>
    </xf>
    <xf numFmtId="49" fontId="11" fillId="0" borderId="2" xfId="2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 wrapText="1"/>
    </xf>
    <xf numFmtId="1" fontId="2" fillId="0" borderId="2" xfId="1" applyNumberFormat="1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center" vertical="center" wrapText="1"/>
    </xf>
    <xf numFmtId="173" fontId="3" fillId="0" borderId="0" xfId="1" applyNumberFormat="1" applyFont="1" applyFill="1" applyAlignment="1"/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textRotation="90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2" fillId="0" borderId="8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8" xfId="0" applyBorder="1" applyAlignment="1">
      <alignment wrapText="1"/>
    </xf>
    <xf numFmtId="0" fontId="0" fillId="0" borderId="18" xfId="0" applyBorder="1" applyAlignment="1">
      <alignment wrapText="1"/>
    </xf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textRotation="90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5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top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0" xfId="0" applyBorder="1" applyAlignment="1">
      <alignment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16" fillId="0" borderId="17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6" fillId="0" borderId="18" xfId="0" applyFont="1" applyBorder="1" applyAlignment="1">
      <alignment vertical="top" wrapText="1"/>
    </xf>
    <xf numFmtId="0" fontId="0" fillId="0" borderId="17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3">
    <cellStyle name="Обычный" xfId="0" builtinId="0"/>
    <cellStyle name="Обычный 3" xfId="1" xr:uid="{00000000-0005-0000-0000-000001000000}"/>
    <cellStyle name="Обычный 7" xfId="2" xr:uid="{00000000-0005-0000-0000-000002000000}"/>
  </cellStyles>
  <dxfs count="0"/>
  <tableStyles count="0" defaultTableStyle="TableStyleMedium2" defaultPivotStyle="PivotStyleMedium9"/>
  <colors>
    <mruColors>
      <color rgb="FFCCFFFF"/>
      <color rgb="FFF9A5F3"/>
      <color rgb="FFD0FCE4"/>
      <color rgb="FFA2E4FC"/>
      <color rgb="FFFFFFCC"/>
      <color rgb="FFBBECFD"/>
      <color rgb="FFA1C4FD"/>
      <color rgb="FF5A9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E89148C2-8D29-49BA-A924-38B5AC92A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EF6897E2-175E-4E88-8ACB-08D77633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78F5C2D4-950F-484D-9E07-D051B1AF7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510~1.KIR\AppData\Local\Temp\H0228_1064250010241_02_0_42_2020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2)"/>
    </sheetNames>
    <sheetDataSet>
      <sheetData sheetId="0">
        <row r="64">
          <cell r="T64">
            <v>6.4657429991999997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143"/>
  <sheetViews>
    <sheetView view="pageBreakPreview" zoomScale="60" zoomScaleNormal="100" workbookViewId="0">
      <pane xSplit="2" ySplit="17" topLeftCell="C58" activePane="bottomRight" state="frozen"/>
      <selection pane="topRight" activeCell="C1" sqref="C1"/>
      <selection pane="bottomLeft" activeCell="A18" sqref="A18"/>
      <selection pane="bottomRight" activeCell="B8" sqref="B8"/>
    </sheetView>
  </sheetViews>
  <sheetFormatPr defaultRowHeight="15.75" outlineLevelRow="1" x14ac:dyDescent="0.25"/>
  <cols>
    <col min="1" max="1" width="12" style="1" customWidth="1"/>
    <col min="2" max="2" width="87.42578125" style="1" customWidth="1"/>
    <col min="3" max="3" width="16" style="1" customWidth="1"/>
    <col min="4" max="4" width="9.5703125" style="1" customWidth="1"/>
    <col min="5" max="5" width="9.85546875" style="2" customWidth="1"/>
    <col min="6" max="6" width="11.7109375" style="2" customWidth="1"/>
    <col min="7" max="7" width="14.85546875" style="2" customWidth="1"/>
    <col min="8" max="8" width="16.7109375" style="2" customWidth="1"/>
    <col min="9" max="9" width="16.140625" style="2" customWidth="1"/>
    <col min="10" max="10" width="14.85546875" style="2" customWidth="1"/>
    <col min="11" max="11" width="16.28515625" style="2" customWidth="1"/>
    <col min="12" max="12" width="12.7109375" style="2" customWidth="1"/>
    <col min="13" max="13" width="15.28515625" style="2" customWidth="1"/>
    <col min="14" max="14" width="13" style="2" customWidth="1"/>
    <col min="15" max="15" width="9.42578125" style="2" customWidth="1"/>
    <col min="16" max="16" width="16.140625" style="2" customWidth="1"/>
    <col min="17" max="17" width="9.42578125" style="2" customWidth="1"/>
    <col min="18" max="18" width="16.7109375" style="2" customWidth="1"/>
    <col min="19" max="19" width="11.85546875" style="2" customWidth="1"/>
    <col min="20" max="20" width="9.42578125" style="2" customWidth="1"/>
    <col min="21" max="21" width="12.140625" style="2" customWidth="1"/>
    <col min="22" max="22" width="12" style="2" customWidth="1"/>
    <col min="23" max="23" width="8.85546875" style="2" customWidth="1"/>
    <col min="24" max="24" width="12" style="2" customWidth="1"/>
    <col min="25" max="25" width="9.42578125" style="2" customWidth="1"/>
    <col min="26" max="26" width="13.85546875" style="2" customWidth="1"/>
    <col min="27" max="29" width="13.140625" style="2" customWidth="1"/>
    <col min="30" max="30" width="16" style="2" customWidth="1"/>
    <col min="31" max="31" width="13.140625" style="2" customWidth="1"/>
    <col min="32" max="32" width="18.28515625" style="2" bestFit="1" customWidth="1"/>
    <col min="33" max="33" width="15.7109375" style="2" customWidth="1"/>
    <col min="34" max="34" width="16.5703125" style="2" customWidth="1"/>
    <col min="35" max="35" width="14" style="2" customWidth="1"/>
    <col min="36" max="36" width="12.85546875" style="2" customWidth="1"/>
    <col min="37" max="38" width="16.5703125" style="2" customWidth="1"/>
    <col min="39" max="39" width="26" style="2" customWidth="1"/>
    <col min="40" max="40" width="25.5703125" style="2" customWidth="1"/>
    <col min="41" max="41" width="51" style="2" customWidth="1"/>
    <col min="42" max="42" width="20.7109375" style="2" customWidth="1"/>
    <col min="43" max="43" width="11.28515625" style="2" customWidth="1"/>
    <col min="44" max="44" width="8.140625" style="2" customWidth="1"/>
    <col min="45" max="45" width="9.7109375" style="2" customWidth="1"/>
    <col min="46" max="46" width="9.5703125" style="2" customWidth="1"/>
    <col min="47" max="47" width="6.42578125" style="2" customWidth="1"/>
    <col min="48" max="48" width="8.42578125" style="2" customWidth="1"/>
    <col min="49" max="49" width="11.42578125" style="2" customWidth="1"/>
    <col min="50" max="50" width="9" style="2" customWidth="1"/>
    <col min="51" max="51" width="7.7109375" style="2" customWidth="1"/>
    <col min="52" max="52" width="10.28515625" style="2" customWidth="1"/>
    <col min="53" max="53" width="7" style="2" customWidth="1"/>
    <col min="54" max="54" width="7.7109375" style="2" customWidth="1"/>
    <col min="55" max="55" width="10.7109375" style="2" customWidth="1"/>
    <col min="56" max="56" width="8.42578125" style="2" customWidth="1"/>
    <col min="57" max="63" width="8.28515625" style="2" customWidth="1"/>
    <col min="64" max="64" width="9.85546875" style="2" customWidth="1"/>
    <col min="65" max="65" width="7" style="2" customWidth="1"/>
    <col min="66" max="66" width="7.85546875" style="2" customWidth="1"/>
    <col min="67" max="67" width="11" style="2" customWidth="1"/>
    <col min="68" max="68" width="7.7109375" style="2" customWidth="1"/>
    <col min="69" max="69" width="8.85546875" style="2" customWidth="1"/>
    <col min="70" max="16384" width="9.140625" style="2"/>
  </cols>
  <sheetData>
    <row r="1" spans="1:74" ht="18.75" customHeight="1" outlineLevel="1" x14ac:dyDescent="0.25">
      <c r="AO1" s="3" t="s">
        <v>0</v>
      </c>
    </row>
    <row r="2" spans="1:74" ht="18.75" customHeight="1" outlineLevel="1" x14ac:dyDescent="0.3">
      <c r="G2" s="4"/>
      <c r="AO2" s="5" t="s">
        <v>1</v>
      </c>
    </row>
    <row r="3" spans="1:74" ht="18.75" customHeight="1" outlineLevel="1" x14ac:dyDescent="0.3">
      <c r="G3" s="4"/>
      <c r="AO3" s="5" t="s">
        <v>2</v>
      </c>
    </row>
    <row r="4" spans="1:74" ht="18.75" outlineLevel="1" x14ac:dyDescent="0.3">
      <c r="A4" s="86" t="s">
        <v>126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</row>
    <row r="5" spans="1:74" ht="18.75" outlineLevel="1" x14ac:dyDescent="0.3">
      <c r="A5" s="6"/>
      <c r="B5" s="6"/>
      <c r="C5" s="6"/>
      <c r="D5" s="6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7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</row>
    <row r="6" spans="1:74" ht="18.75" outlineLevel="1" x14ac:dyDescent="0.25">
      <c r="A6" s="87" t="s">
        <v>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</row>
    <row r="7" spans="1:74" outlineLevel="1" x14ac:dyDescent="0.25">
      <c r="A7" s="88" t="s">
        <v>114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</row>
    <row r="8" spans="1:74" outlineLevel="1" x14ac:dyDescent="0.25">
      <c r="L8" s="11"/>
      <c r="V8" s="11"/>
      <c r="Z8" s="11"/>
    </row>
    <row r="9" spans="1:74" ht="18.75" outlineLevel="1" x14ac:dyDescent="0.3">
      <c r="A9" s="89" t="s">
        <v>317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</row>
    <row r="10" spans="1:74" ht="18.75" outlineLevel="1" x14ac:dyDescent="0.3">
      <c r="A10" s="6"/>
      <c r="B10" s="6"/>
      <c r="C10" s="6"/>
      <c r="D10" s="6"/>
      <c r="E10" s="65"/>
      <c r="F10" s="65"/>
      <c r="G10" s="65"/>
      <c r="H10" s="12"/>
      <c r="I10" s="65"/>
      <c r="J10" s="65"/>
      <c r="K10" s="12"/>
      <c r="L10" s="65"/>
      <c r="M10" s="65"/>
      <c r="N10" s="65"/>
      <c r="O10" s="65"/>
      <c r="P10" s="12"/>
      <c r="Q10" s="65"/>
      <c r="R10" s="13"/>
      <c r="S10" s="65"/>
      <c r="T10" s="65"/>
      <c r="U10" s="14"/>
      <c r="V10" s="65"/>
      <c r="W10" s="65"/>
      <c r="X10" s="12"/>
      <c r="Y10" s="65"/>
      <c r="Z10" s="12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12"/>
      <c r="AO10" s="65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</row>
    <row r="11" spans="1:74" ht="53.25" customHeight="1" outlineLevel="1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59"/>
      <c r="M11" s="15"/>
      <c r="N11" s="15"/>
      <c r="O11" s="90" t="s">
        <v>372</v>
      </c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15"/>
      <c r="AB11" s="15"/>
      <c r="AC11" s="16"/>
      <c r="AD11" s="16"/>
      <c r="AE11" s="16"/>
      <c r="AF11" s="17"/>
      <c r="AG11" s="15"/>
      <c r="AH11" s="15"/>
      <c r="AI11" s="18"/>
      <c r="AJ11" s="15"/>
      <c r="AK11" s="15"/>
      <c r="AL11" s="15"/>
      <c r="AM11" s="19"/>
      <c r="AN11" s="19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</row>
    <row r="12" spans="1:74" outlineLevel="1" x14ac:dyDescent="0.25">
      <c r="A12" s="75" t="s">
        <v>113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</row>
    <row r="13" spans="1:74" ht="15" customHeight="1" outlineLevel="1" x14ac:dyDescent="0.25">
      <c r="A13" s="21"/>
      <c r="B13" s="21"/>
      <c r="C13" s="21"/>
      <c r="D13" s="21"/>
      <c r="E13" s="22"/>
      <c r="F13" s="22"/>
      <c r="G13" s="22"/>
      <c r="H13" s="23"/>
      <c r="I13" s="23"/>
      <c r="J13" s="23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5"/>
      <c r="AG13" s="24"/>
      <c r="AH13" s="26"/>
      <c r="AI13" s="24"/>
      <c r="AJ13" s="24"/>
      <c r="AK13" s="24"/>
      <c r="AL13" s="24"/>
      <c r="AM13" s="24"/>
      <c r="AN13" s="24"/>
      <c r="AO13" s="27"/>
    </row>
    <row r="14" spans="1:74" ht="56.25" customHeight="1" x14ac:dyDescent="0.25">
      <c r="A14" s="76" t="s">
        <v>116</v>
      </c>
      <c r="B14" s="76" t="s">
        <v>4</v>
      </c>
      <c r="C14" s="76" t="s">
        <v>115</v>
      </c>
      <c r="D14" s="77" t="s">
        <v>5</v>
      </c>
      <c r="E14" s="77" t="s">
        <v>6</v>
      </c>
      <c r="F14" s="76" t="s">
        <v>7</v>
      </c>
      <c r="G14" s="76"/>
      <c r="H14" s="76" t="s">
        <v>8</v>
      </c>
      <c r="I14" s="76"/>
      <c r="J14" s="78" t="s">
        <v>264</v>
      </c>
      <c r="K14" s="81" t="s">
        <v>9</v>
      </c>
      <c r="L14" s="82"/>
      <c r="M14" s="82"/>
      <c r="N14" s="82"/>
      <c r="O14" s="82"/>
      <c r="P14" s="82"/>
      <c r="Q14" s="82"/>
      <c r="R14" s="82"/>
      <c r="S14" s="82"/>
      <c r="T14" s="82"/>
      <c r="U14" s="76" t="s">
        <v>10</v>
      </c>
      <c r="V14" s="76"/>
      <c r="W14" s="76"/>
      <c r="X14" s="76"/>
      <c r="Y14" s="76"/>
      <c r="Z14" s="76"/>
      <c r="AA14" s="92" t="s">
        <v>239</v>
      </c>
      <c r="AB14" s="93"/>
      <c r="AC14" s="81" t="s">
        <v>11</v>
      </c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28"/>
      <c r="AO14" s="78" t="s">
        <v>170</v>
      </c>
    </row>
    <row r="15" spans="1:74" ht="135.75" customHeight="1" x14ac:dyDescent="0.25">
      <c r="A15" s="76"/>
      <c r="B15" s="76"/>
      <c r="C15" s="76"/>
      <c r="D15" s="77"/>
      <c r="E15" s="77"/>
      <c r="F15" s="76"/>
      <c r="G15" s="76"/>
      <c r="H15" s="76"/>
      <c r="I15" s="76"/>
      <c r="J15" s="79"/>
      <c r="K15" s="81" t="s">
        <v>220</v>
      </c>
      <c r="L15" s="82"/>
      <c r="M15" s="82"/>
      <c r="N15" s="82"/>
      <c r="O15" s="83"/>
      <c r="P15" s="81" t="s">
        <v>12</v>
      </c>
      <c r="Q15" s="82"/>
      <c r="R15" s="82"/>
      <c r="S15" s="82"/>
      <c r="T15" s="83"/>
      <c r="U15" s="76" t="s">
        <v>265</v>
      </c>
      <c r="V15" s="76"/>
      <c r="W15" s="81" t="s">
        <v>327</v>
      </c>
      <c r="X15" s="83"/>
      <c r="Y15" s="76" t="s">
        <v>328</v>
      </c>
      <c r="Z15" s="76"/>
      <c r="AA15" s="94"/>
      <c r="AB15" s="95"/>
      <c r="AC15" s="84" t="s">
        <v>127</v>
      </c>
      <c r="AD15" s="85"/>
      <c r="AE15" s="84" t="s">
        <v>128</v>
      </c>
      <c r="AF15" s="85"/>
      <c r="AG15" s="84" t="s">
        <v>129</v>
      </c>
      <c r="AH15" s="85"/>
      <c r="AI15" s="84" t="s">
        <v>130</v>
      </c>
      <c r="AJ15" s="85"/>
      <c r="AK15" s="84" t="s">
        <v>131</v>
      </c>
      <c r="AL15" s="85"/>
      <c r="AM15" s="76" t="s">
        <v>223</v>
      </c>
      <c r="AN15" s="76" t="s">
        <v>216</v>
      </c>
      <c r="AO15" s="79"/>
    </row>
    <row r="16" spans="1:74" ht="144.75" customHeight="1" x14ac:dyDescent="0.25">
      <c r="A16" s="76"/>
      <c r="B16" s="76"/>
      <c r="C16" s="76"/>
      <c r="D16" s="77"/>
      <c r="E16" s="77"/>
      <c r="F16" s="66" t="s">
        <v>220</v>
      </c>
      <c r="G16" s="66" t="s">
        <v>12</v>
      </c>
      <c r="H16" s="66" t="s">
        <v>221</v>
      </c>
      <c r="I16" s="66" t="s">
        <v>12</v>
      </c>
      <c r="J16" s="91"/>
      <c r="K16" s="61" t="s">
        <v>13</v>
      </c>
      <c r="L16" s="61" t="s">
        <v>14</v>
      </c>
      <c r="M16" s="61" t="s">
        <v>15</v>
      </c>
      <c r="N16" s="61" t="s">
        <v>16</v>
      </c>
      <c r="O16" s="61" t="s">
        <v>17</v>
      </c>
      <c r="P16" s="61" t="s">
        <v>13</v>
      </c>
      <c r="Q16" s="61" t="s">
        <v>14</v>
      </c>
      <c r="R16" s="61" t="s">
        <v>15</v>
      </c>
      <c r="S16" s="61" t="s">
        <v>16</v>
      </c>
      <c r="T16" s="61" t="s">
        <v>17</v>
      </c>
      <c r="U16" s="61" t="s">
        <v>18</v>
      </c>
      <c r="V16" s="61" t="s">
        <v>19</v>
      </c>
      <c r="W16" s="61" t="s">
        <v>18</v>
      </c>
      <c r="X16" s="61" t="s">
        <v>19</v>
      </c>
      <c r="Y16" s="61" t="s">
        <v>18</v>
      </c>
      <c r="Z16" s="61" t="s">
        <v>19</v>
      </c>
      <c r="AA16" s="60" t="s">
        <v>240</v>
      </c>
      <c r="AB16" s="60" t="s">
        <v>241</v>
      </c>
      <c r="AC16" s="60" t="s">
        <v>240</v>
      </c>
      <c r="AD16" s="60" t="s">
        <v>241</v>
      </c>
      <c r="AE16" s="60" t="s">
        <v>222</v>
      </c>
      <c r="AF16" s="60" t="s">
        <v>241</v>
      </c>
      <c r="AG16" s="60" t="s">
        <v>221</v>
      </c>
      <c r="AH16" s="60" t="s">
        <v>241</v>
      </c>
      <c r="AI16" s="60" t="s">
        <v>221</v>
      </c>
      <c r="AJ16" s="60" t="s">
        <v>12</v>
      </c>
      <c r="AK16" s="60" t="s">
        <v>221</v>
      </c>
      <c r="AL16" s="60" t="s">
        <v>12</v>
      </c>
      <c r="AM16" s="76"/>
      <c r="AN16" s="76"/>
      <c r="AO16" s="80"/>
      <c r="AP16" s="29"/>
      <c r="AQ16" s="29"/>
      <c r="AR16" s="29"/>
    </row>
    <row r="17" spans="1:44" ht="19.5" customHeight="1" x14ac:dyDescent="0.25">
      <c r="A17" s="60">
        <v>1</v>
      </c>
      <c r="B17" s="60">
        <v>2</v>
      </c>
      <c r="C17" s="60">
        <v>3</v>
      </c>
      <c r="D17" s="60">
        <v>4</v>
      </c>
      <c r="E17" s="60">
        <v>5</v>
      </c>
      <c r="F17" s="60">
        <v>6</v>
      </c>
      <c r="G17" s="60">
        <v>7</v>
      </c>
      <c r="H17" s="60">
        <v>8</v>
      </c>
      <c r="I17" s="60">
        <v>9</v>
      </c>
      <c r="J17" s="60">
        <v>10</v>
      </c>
      <c r="K17" s="60">
        <v>11</v>
      </c>
      <c r="L17" s="60">
        <v>12</v>
      </c>
      <c r="M17" s="60">
        <v>13</v>
      </c>
      <c r="N17" s="60">
        <v>14</v>
      </c>
      <c r="O17" s="60">
        <v>15</v>
      </c>
      <c r="P17" s="60">
        <f>O17+1</f>
        <v>16</v>
      </c>
      <c r="Q17" s="60">
        <f>P17+1</f>
        <v>17</v>
      </c>
      <c r="R17" s="60">
        <f t="shared" ref="R17:T17" si="0">Q17+1</f>
        <v>18</v>
      </c>
      <c r="S17" s="60">
        <f t="shared" si="0"/>
        <v>19</v>
      </c>
      <c r="T17" s="60">
        <f t="shared" si="0"/>
        <v>20</v>
      </c>
      <c r="U17" s="60">
        <v>21</v>
      </c>
      <c r="V17" s="60">
        <v>22</v>
      </c>
      <c r="W17" s="60">
        <v>23</v>
      </c>
      <c r="X17" s="60">
        <v>24</v>
      </c>
      <c r="Y17" s="60">
        <v>25</v>
      </c>
      <c r="Z17" s="60">
        <v>26</v>
      </c>
      <c r="AA17" s="60">
        <v>27</v>
      </c>
      <c r="AB17" s="60">
        <v>28</v>
      </c>
      <c r="AC17" s="30" t="s">
        <v>242</v>
      </c>
      <c r="AD17" s="30" t="s">
        <v>243</v>
      </c>
      <c r="AE17" s="30" t="s">
        <v>244</v>
      </c>
      <c r="AF17" s="30" t="s">
        <v>245</v>
      </c>
      <c r="AG17" s="30" t="s">
        <v>246</v>
      </c>
      <c r="AH17" s="30" t="s">
        <v>247</v>
      </c>
      <c r="AI17" s="30" t="s">
        <v>248</v>
      </c>
      <c r="AJ17" s="30" t="s">
        <v>249</v>
      </c>
      <c r="AK17" s="30" t="s">
        <v>250</v>
      </c>
      <c r="AL17" s="30" t="s">
        <v>251</v>
      </c>
      <c r="AM17" s="60">
        <v>30</v>
      </c>
      <c r="AN17" s="60">
        <f>AM17+1</f>
        <v>31</v>
      </c>
      <c r="AO17" s="60">
        <f t="shared" ref="AO17" si="1">AN17+1</f>
        <v>32</v>
      </c>
      <c r="AP17" s="31"/>
      <c r="AQ17" s="31"/>
      <c r="AR17" s="29"/>
    </row>
    <row r="18" spans="1:44" ht="19.5" customHeight="1" x14ac:dyDescent="0.25">
      <c r="A18" s="32">
        <v>0</v>
      </c>
      <c r="B18" s="32" t="s">
        <v>266</v>
      </c>
      <c r="C18" s="32" t="s">
        <v>102</v>
      </c>
      <c r="D18" s="33">
        <f>SUM(D19:D24)</f>
        <v>0</v>
      </c>
      <c r="E18" s="33">
        <f t="shared" ref="E18:AN18" si="2">SUM(E19:E24)</f>
        <v>0</v>
      </c>
      <c r="F18" s="33">
        <f t="shared" si="2"/>
        <v>0</v>
      </c>
      <c r="G18" s="33">
        <f t="shared" si="2"/>
        <v>0</v>
      </c>
      <c r="H18" s="33">
        <f>SUM(H19:H24)</f>
        <v>81.924475227843089</v>
      </c>
      <c r="I18" s="33">
        <f>SUM(I19:I24)</f>
        <v>75.729693888571006</v>
      </c>
      <c r="J18" s="33">
        <f t="shared" si="2"/>
        <v>0</v>
      </c>
      <c r="K18" s="33">
        <v>985.42319930133249</v>
      </c>
      <c r="L18" s="33">
        <f>SUM(L19:L24)</f>
        <v>27.210045017011101</v>
      </c>
      <c r="M18" s="33">
        <f>SUM(M19:M24)</f>
        <v>488.46615883545564</v>
      </c>
      <c r="N18" s="33">
        <v>469.74722423798408</v>
      </c>
      <c r="O18" s="33">
        <f t="shared" ref="O18" si="3">SUM(O19:O24)</f>
        <v>0</v>
      </c>
      <c r="P18" s="33">
        <f>Q18+R18+S18+T18</f>
        <v>897.60996878492608</v>
      </c>
      <c r="Q18" s="33">
        <f>SUM(Q19:Q24)</f>
        <v>30.064652679999998</v>
      </c>
      <c r="R18" s="33">
        <f>SUM(R19:R24)</f>
        <v>468.37877158278923</v>
      </c>
      <c r="S18" s="33">
        <f>SUM(S19:S24)</f>
        <v>399.16654452213686</v>
      </c>
      <c r="T18" s="33">
        <f t="shared" si="2"/>
        <v>0</v>
      </c>
      <c r="U18" s="33">
        <f t="shared" si="2"/>
        <v>0</v>
      </c>
      <c r="V18" s="33">
        <f t="shared" si="2"/>
        <v>0</v>
      </c>
      <c r="W18" s="33">
        <v>60.280701750605786</v>
      </c>
      <c r="X18" s="33">
        <v>301.46237232582331</v>
      </c>
      <c r="Y18" s="33">
        <f t="shared" si="2"/>
        <v>47.255118740111179</v>
      </c>
      <c r="Z18" s="33">
        <f>311.216242264934/1.2</f>
        <v>259.34686855411167</v>
      </c>
      <c r="AA18" s="33">
        <f t="shared" si="2"/>
        <v>17.488613999999998</v>
      </c>
      <c r="AB18" s="33">
        <f>SUM(AB19:AB24)</f>
        <v>8.9812305100000014</v>
      </c>
      <c r="AC18" s="33">
        <f t="shared" si="2"/>
        <v>196.50489585859705</v>
      </c>
      <c r="AD18" s="33">
        <f t="shared" si="2"/>
        <v>182.71119656333332</v>
      </c>
      <c r="AE18" s="33">
        <f>SUM(AE19:AE24)</f>
        <v>318.3147332382286</v>
      </c>
      <c r="AF18" s="33">
        <f t="shared" si="2"/>
        <v>275.90844677673806</v>
      </c>
      <c r="AG18" s="33">
        <f t="shared" si="2"/>
        <v>151.65267554535001</v>
      </c>
      <c r="AH18" s="33">
        <f t="shared" si="2"/>
        <v>170.48199588</v>
      </c>
      <c r="AI18" s="33">
        <f t="shared" si="2"/>
        <v>150.51095203449643</v>
      </c>
      <c r="AJ18" s="33">
        <f t="shared" si="2"/>
        <v>108.39548981278506</v>
      </c>
      <c r="AK18" s="33">
        <f t="shared" si="2"/>
        <v>150.95142029132703</v>
      </c>
      <c r="AL18" s="33">
        <f t="shared" si="2"/>
        <v>150.95142029132703</v>
      </c>
      <c r="AM18" s="33">
        <f>SUM(AM19:AM24)</f>
        <v>967.93467696799917</v>
      </c>
      <c r="AN18" s="33">
        <f t="shared" si="2"/>
        <v>888.44854932418343</v>
      </c>
      <c r="AO18" s="63"/>
      <c r="AP18" s="31"/>
      <c r="AQ18" s="31"/>
      <c r="AR18" s="29"/>
    </row>
    <row r="19" spans="1:44" ht="19.5" customHeight="1" x14ac:dyDescent="0.25">
      <c r="A19" s="32" t="s">
        <v>267</v>
      </c>
      <c r="B19" s="32" t="s">
        <v>268</v>
      </c>
      <c r="C19" s="32" t="s">
        <v>104</v>
      </c>
      <c r="D19" s="33">
        <f>SUM(D27)</f>
        <v>0</v>
      </c>
      <c r="E19" s="33">
        <f t="shared" ref="E19:AN19" si="4">SUM(E27)</f>
        <v>0</v>
      </c>
      <c r="F19" s="33">
        <f t="shared" si="4"/>
        <v>0</v>
      </c>
      <c r="G19" s="33">
        <f t="shared" si="4"/>
        <v>0</v>
      </c>
      <c r="H19" s="33">
        <f t="shared" si="4"/>
        <v>0.63436494959999989</v>
      </c>
      <c r="I19" s="33">
        <f t="shared" si="4"/>
        <v>0.63436494959999989</v>
      </c>
      <c r="J19" s="33">
        <f t="shared" si="4"/>
        <v>0</v>
      </c>
      <c r="K19" s="33">
        <v>354.45166799658506</v>
      </c>
      <c r="L19" s="33">
        <f>SUM(L27)</f>
        <v>15.104685</v>
      </c>
      <c r="M19" s="33">
        <f t="shared" ref="M19:N19" si="5">SUM(M27)</f>
        <v>336.81694688723462</v>
      </c>
      <c r="N19" s="33">
        <f t="shared" si="5"/>
        <v>2.5297521093499999</v>
      </c>
      <c r="O19" s="33">
        <f t="shared" ref="O19" si="6">SUM(O27)</f>
        <v>0</v>
      </c>
      <c r="P19" s="33">
        <f>Q19+R19+S19+T19</f>
        <v>331.36362449000006</v>
      </c>
      <c r="Q19" s="33">
        <f>SUM(Q27)</f>
        <v>15.104685</v>
      </c>
      <c r="R19" s="33">
        <f t="shared" ref="R19:S19" si="7">SUM(R27)</f>
        <v>315.14710001000003</v>
      </c>
      <c r="S19" s="33">
        <f t="shared" si="7"/>
        <v>1.11183948</v>
      </c>
      <c r="T19" s="33">
        <f t="shared" si="4"/>
        <v>0</v>
      </c>
      <c r="U19" s="33">
        <f t="shared" si="4"/>
        <v>0</v>
      </c>
      <c r="V19" s="33">
        <f t="shared" si="4"/>
        <v>0</v>
      </c>
      <c r="W19" s="33">
        <v>0</v>
      </c>
      <c r="X19" s="33">
        <v>0</v>
      </c>
      <c r="Y19" s="33">
        <f t="shared" si="4"/>
        <v>0</v>
      </c>
      <c r="Z19" s="33">
        <f>19.3792908/1.2</f>
        <v>16.149409000000002</v>
      </c>
      <c r="AA19" s="33">
        <f t="shared" si="4"/>
        <v>12.9</v>
      </c>
      <c r="AB19" s="33">
        <f t="shared" si="4"/>
        <v>6.5441790000000015</v>
      </c>
      <c r="AC19" s="33">
        <f t="shared" si="4"/>
        <v>72.472355572683341</v>
      </c>
      <c r="AD19" s="33">
        <f t="shared" si="4"/>
        <v>57.78377717</v>
      </c>
      <c r="AE19" s="33">
        <f t="shared" ref="AE19" si="8">SUM(AE27)</f>
        <v>241.71203709056834</v>
      </c>
      <c r="AF19" s="33">
        <f t="shared" si="4"/>
        <v>203.07325880000002</v>
      </c>
      <c r="AG19" s="33">
        <f t="shared" si="4"/>
        <v>27.085083000000001</v>
      </c>
      <c r="AH19" s="33">
        <f t="shared" si="4"/>
        <v>47.813000619999997</v>
      </c>
      <c r="AI19" s="33">
        <f t="shared" si="4"/>
        <v>0</v>
      </c>
      <c r="AJ19" s="33">
        <f t="shared" si="4"/>
        <v>16.149409000000002</v>
      </c>
      <c r="AK19" s="33">
        <f t="shared" si="4"/>
        <v>0</v>
      </c>
      <c r="AL19" s="33">
        <f t="shared" si="4"/>
        <v>0</v>
      </c>
      <c r="AM19" s="33">
        <f>SUM(AM27)</f>
        <v>341.26947566325168</v>
      </c>
      <c r="AN19" s="33">
        <f t="shared" si="4"/>
        <v>324.81944558999999</v>
      </c>
      <c r="AO19" s="63"/>
      <c r="AP19" s="31"/>
      <c r="AQ19" s="31"/>
      <c r="AR19" s="29"/>
    </row>
    <row r="20" spans="1:44" ht="19.5" customHeight="1" x14ac:dyDescent="0.25">
      <c r="A20" s="32" t="s">
        <v>269</v>
      </c>
      <c r="B20" s="32" t="s">
        <v>270</v>
      </c>
      <c r="C20" s="32" t="s">
        <v>104</v>
      </c>
      <c r="D20" s="33">
        <f t="shared" ref="D20:J20" si="9">SUM(D57)</f>
        <v>0</v>
      </c>
      <c r="E20" s="33">
        <f t="shared" si="9"/>
        <v>0</v>
      </c>
      <c r="F20" s="33">
        <f t="shared" si="9"/>
        <v>0</v>
      </c>
      <c r="G20" s="33">
        <f t="shared" si="9"/>
        <v>0</v>
      </c>
      <c r="H20" s="33">
        <f t="shared" si="9"/>
        <v>80.419103518699671</v>
      </c>
      <c r="I20" s="33">
        <f t="shared" si="9"/>
        <v>74.224322179427588</v>
      </c>
      <c r="J20" s="33">
        <f t="shared" si="9"/>
        <v>0</v>
      </c>
      <c r="K20" s="33">
        <v>487.98827927902192</v>
      </c>
      <c r="L20" s="33">
        <f>SUM(L57)</f>
        <v>12.105360017011101</v>
      </c>
      <c r="M20" s="33">
        <f t="shared" ref="M20:O20" si="10">SUM(M57)</f>
        <v>151.02959606982117</v>
      </c>
      <c r="N20" s="33">
        <f t="shared" si="10"/>
        <v>325.13683631464176</v>
      </c>
      <c r="O20" s="33">
        <f t="shared" si="10"/>
        <v>0</v>
      </c>
      <c r="P20" s="33">
        <f t="shared" ref="P20:P23" si="11">Q20+R20+S20+T20</f>
        <v>482.56387811604503</v>
      </c>
      <c r="Q20" s="33">
        <f>SUM(Q57)</f>
        <v>14.959967679999998</v>
      </c>
      <c r="R20" s="33">
        <f t="shared" ref="R20:V20" si="12">SUM(R57)</f>
        <v>152.61205569438934</v>
      </c>
      <c r="S20" s="33">
        <f t="shared" si="12"/>
        <v>314.99185474165569</v>
      </c>
      <c r="T20" s="33">
        <f t="shared" si="12"/>
        <v>0</v>
      </c>
      <c r="U20" s="33">
        <f t="shared" si="12"/>
        <v>0</v>
      </c>
      <c r="V20" s="33">
        <f t="shared" si="12"/>
        <v>0</v>
      </c>
      <c r="W20" s="33">
        <v>59.419270991062362</v>
      </c>
      <c r="X20" s="33">
        <v>188.95286825701334</v>
      </c>
      <c r="Y20" s="33">
        <f t="shared" ref="Y20:AD20" si="13">SUM(Y57)</f>
        <v>46.393687980567755</v>
      </c>
      <c r="Z20" s="33">
        <f>226.791483918363/1.2</f>
        <v>188.99290326530252</v>
      </c>
      <c r="AA20" s="33">
        <f t="shared" si="13"/>
        <v>4.5886139999999997</v>
      </c>
      <c r="AB20" s="33">
        <f t="shared" si="13"/>
        <v>2.4370515100000003</v>
      </c>
      <c r="AC20" s="33">
        <f t="shared" si="13"/>
        <v>99.730875276456032</v>
      </c>
      <c r="AD20" s="33">
        <f t="shared" si="13"/>
        <v>101.75333169999999</v>
      </c>
      <c r="AE20" s="33">
        <f t="shared" ref="AE20" si="14">SUM(AE57)</f>
        <v>70.520884200202161</v>
      </c>
      <c r="AF20" s="33">
        <f t="shared" ref="AF20:AN20" si="15">SUM(AF57)</f>
        <v>66.621636780000003</v>
      </c>
      <c r="AG20" s="33">
        <f t="shared" si="15"/>
        <v>124.47732154535001</v>
      </c>
      <c r="AH20" s="33">
        <f t="shared" si="15"/>
        <v>122.57872426</v>
      </c>
      <c r="AI20" s="33">
        <f t="shared" si="15"/>
        <v>86.03753909171138</v>
      </c>
      <c r="AJ20" s="33">
        <f t="shared" si="15"/>
        <v>86.077615649999998</v>
      </c>
      <c r="AK20" s="33">
        <f t="shared" si="15"/>
        <v>102.91532916530241</v>
      </c>
      <c r="AL20" s="33">
        <f t="shared" si="15"/>
        <v>102.91532916530241</v>
      </c>
      <c r="AM20" s="33">
        <f t="shared" si="15"/>
        <v>483.68194927902204</v>
      </c>
      <c r="AN20" s="33">
        <f t="shared" si="15"/>
        <v>479.9466375553024</v>
      </c>
      <c r="AO20" s="63"/>
      <c r="AP20" s="31"/>
      <c r="AQ20" s="31"/>
      <c r="AR20" s="29"/>
    </row>
    <row r="21" spans="1:44" ht="31.5" x14ac:dyDescent="0.25">
      <c r="A21" s="32" t="s">
        <v>271</v>
      </c>
      <c r="B21" s="32" t="s">
        <v>272</v>
      </c>
      <c r="C21" s="32" t="s">
        <v>104</v>
      </c>
      <c r="D21" s="33">
        <f>SUM(D118)</f>
        <v>0</v>
      </c>
      <c r="E21" s="33">
        <f>SUM(E118)</f>
        <v>0</v>
      </c>
      <c r="F21" s="33">
        <f>SUM(F118)</f>
        <v>0</v>
      </c>
      <c r="G21" s="33">
        <f>SUM(G118)</f>
        <v>0</v>
      </c>
      <c r="H21" s="34">
        <v>0</v>
      </c>
      <c r="I21" s="33">
        <f>SUM(I118)</f>
        <v>0</v>
      </c>
      <c r="J21" s="33">
        <f>SUM(J118)</f>
        <v>0</v>
      </c>
      <c r="K21" s="33">
        <v>0</v>
      </c>
      <c r="L21" s="33">
        <f t="shared" ref="L21:O21" si="16">SUM(L118)</f>
        <v>0</v>
      </c>
      <c r="M21" s="33">
        <f t="shared" si="16"/>
        <v>0</v>
      </c>
      <c r="N21" s="33">
        <f t="shared" si="16"/>
        <v>0</v>
      </c>
      <c r="O21" s="33">
        <f t="shared" si="16"/>
        <v>0</v>
      </c>
      <c r="P21" s="33">
        <f t="shared" si="11"/>
        <v>0</v>
      </c>
      <c r="Q21" s="33">
        <f t="shared" ref="Q21:V21" si="17">SUM(Q118)</f>
        <v>0</v>
      </c>
      <c r="R21" s="33">
        <f t="shared" si="17"/>
        <v>0</v>
      </c>
      <c r="S21" s="33">
        <f t="shared" si="17"/>
        <v>0</v>
      </c>
      <c r="T21" s="33">
        <f t="shared" si="17"/>
        <v>0</v>
      </c>
      <c r="U21" s="33">
        <f t="shared" si="17"/>
        <v>0</v>
      </c>
      <c r="V21" s="33">
        <f t="shared" si="17"/>
        <v>0</v>
      </c>
      <c r="W21" s="33">
        <v>0</v>
      </c>
      <c r="X21" s="33">
        <v>0</v>
      </c>
      <c r="Y21" s="33">
        <f t="shared" ref="Y21:AD21" si="18">SUM(Y118)</f>
        <v>0</v>
      </c>
      <c r="Z21" s="33">
        <v>0</v>
      </c>
      <c r="AA21" s="33">
        <f t="shared" si="18"/>
        <v>0</v>
      </c>
      <c r="AB21" s="33">
        <f t="shared" si="18"/>
        <v>0</v>
      </c>
      <c r="AC21" s="33">
        <f t="shared" si="18"/>
        <v>0</v>
      </c>
      <c r="AD21" s="33">
        <f t="shared" si="18"/>
        <v>0</v>
      </c>
      <c r="AE21" s="33">
        <f t="shared" ref="AE21" si="19">SUM(AE118)</f>
        <v>0</v>
      </c>
      <c r="AF21" s="33">
        <f t="shared" ref="AF21:AN21" si="20">SUM(AF118)</f>
        <v>0</v>
      </c>
      <c r="AG21" s="33">
        <f t="shared" si="20"/>
        <v>0</v>
      </c>
      <c r="AH21" s="33">
        <f t="shared" si="20"/>
        <v>0</v>
      </c>
      <c r="AI21" s="33">
        <f t="shared" si="20"/>
        <v>0</v>
      </c>
      <c r="AJ21" s="33">
        <f t="shared" si="20"/>
        <v>0</v>
      </c>
      <c r="AK21" s="33">
        <f t="shared" si="20"/>
        <v>0</v>
      </c>
      <c r="AL21" s="33">
        <f t="shared" si="20"/>
        <v>0</v>
      </c>
      <c r="AM21" s="33">
        <f t="shared" si="20"/>
        <v>0</v>
      </c>
      <c r="AN21" s="33">
        <f t="shared" si="20"/>
        <v>0</v>
      </c>
      <c r="AO21" s="63"/>
      <c r="AP21" s="31"/>
      <c r="AQ21" s="31"/>
      <c r="AR21" s="29"/>
    </row>
    <row r="22" spans="1:44" ht="19.5" customHeight="1" x14ac:dyDescent="0.25">
      <c r="A22" s="32" t="s">
        <v>273</v>
      </c>
      <c r="B22" s="32" t="s">
        <v>274</v>
      </c>
      <c r="C22" s="32" t="s">
        <v>104</v>
      </c>
      <c r="D22" s="33">
        <f t="shared" ref="D22:G24" si="21">SUM(D121)</f>
        <v>0</v>
      </c>
      <c r="E22" s="33">
        <f t="shared" si="21"/>
        <v>0</v>
      </c>
      <c r="F22" s="33">
        <f t="shared" si="21"/>
        <v>0</v>
      </c>
      <c r="G22" s="33">
        <f t="shared" si="21"/>
        <v>0</v>
      </c>
      <c r="H22" s="34">
        <v>0</v>
      </c>
      <c r="I22" s="33">
        <f t="shared" ref="I22:J24" si="22">SUM(I121)</f>
        <v>0</v>
      </c>
      <c r="J22" s="33">
        <f t="shared" si="22"/>
        <v>0</v>
      </c>
      <c r="K22" s="33">
        <v>0</v>
      </c>
      <c r="L22" s="33">
        <f t="shared" ref="L22:O22" si="23">SUM(L121)</f>
        <v>0</v>
      </c>
      <c r="M22" s="33">
        <f t="shared" si="23"/>
        <v>0</v>
      </c>
      <c r="N22" s="33">
        <f t="shared" si="23"/>
        <v>0</v>
      </c>
      <c r="O22" s="33">
        <f t="shared" si="23"/>
        <v>0</v>
      </c>
      <c r="P22" s="33">
        <f t="shared" si="11"/>
        <v>0</v>
      </c>
      <c r="Q22" s="33">
        <f t="shared" ref="Q22:V24" si="24">SUM(Q121)</f>
        <v>0</v>
      </c>
      <c r="R22" s="33">
        <f t="shared" si="24"/>
        <v>0</v>
      </c>
      <c r="S22" s="33">
        <f t="shared" si="24"/>
        <v>0</v>
      </c>
      <c r="T22" s="33">
        <f t="shared" si="24"/>
        <v>0</v>
      </c>
      <c r="U22" s="33">
        <f t="shared" si="24"/>
        <v>0</v>
      </c>
      <c r="V22" s="33">
        <f t="shared" si="24"/>
        <v>0</v>
      </c>
      <c r="W22" s="33">
        <v>0</v>
      </c>
      <c r="X22" s="33">
        <v>0</v>
      </c>
      <c r="Y22" s="33">
        <f t="shared" ref="Y22:AD24" si="25">SUM(Y121)</f>
        <v>0</v>
      </c>
      <c r="Z22" s="33">
        <v>0</v>
      </c>
      <c r="AA22" s="33">
        <f t="shared" si="25"/>
        <v>0</v>
      </c>
      <c r="AB22" s="33">
        <f t="shared" si="25"/>
        <v>0</v>
      </c>
      <c r="AC22" s="33">
        <f t="shared" si="25"/>
        <v>0</v>
      </c>
      <c r="AD22" s="33">
        <f t="shared" si="25"/>
        <v>0</v>
      </c>
      <c r="AE22" s="33">
        <f t="shared" ref="AE22" si="26">SUM(AE121)</f>
        <v>0</v>
      </c>
      <c r="AF22" s="33">
        <f t="shared" ref="AF22:AN22" si="27">SUM(AF121)</f>
        <v>0</v>
      </c>
      <c r="AG22" s="33">
        <f t="shared" si="27"/>
        <v>0</v>
      </c>
      <c r="AH22" s="33">
        <f t="shared" si="27"/>
        <v>0</v>
      </c>
      <c r="AI22" s="33">
        <f t="shared" si="27"/>
        <v>0</v>
      </c>
      <c r="AJ22" s="33">
        <f t="shared" si="27"/>
        <v>0</v>
      </c>
      <c r="AK22" s="33">
        <f t="shared" si="27"/>
        <v>0</v>
      </c>
      <c r="AL22" s="33">
        <f t="shared" si="27"/>
        <v>0</v>
      </c>
      <c r="AM22" s="33">
        <f t="shared" si="27"/>
        <v>0</v>
      </c>
      <c r="AN22" s="33">
        <f t="shared" si="27"/>
        <v>0</v>
      </c>
      <c r="AO22" s="63"/>
      <c r="AP22" s="31"/>
      <c r="AQ22" s="31"/>
      <c r="AR22" s="29"/>
    </row>
    <row r="23" spans="1:44" ht="19.5" customHeight="1" x14ac:dyDescent="0.25">
      <c r="A23" s="32" t="s">
        <v>275</v>
      </c>
      <c r="B23" s="32" t="s">
        <v>276</v>
      </c>
      <c r="C23" s="32" t="s">
        <v>104</v>
      </c>
      <c r="D23" s="33">
        <f t="shared" si="21"/>
        <v>0</v>
      </c>
      <c r="E23" s="33">
        <f t="shared" si="21"/>
        <v>0</v>
      </c>
      <c r="F23" s="33">
        <f t="shared" si="21"/>
        <v>0</v>
      </c>
      <c r="G23" s="33">
        <f t="shared" si="21"/>
        <v>0</v>
      </c>
      <c r="H23" s="34">
        <v>0</v>
      </c>
      <c r="I23" s="33">
        <f t="shared" si="22"/>
        <v>0</v>
      </c>
      <c r="J23" s="33">
        <f t="shared" si="22"/>
        <v>0</v>
      </c>
      <c r="K23" s="33">
        <v>0</v>
      </c>
      <c r="L23" s="33">
        <f t="shared" ref="L23:O23" si="28">SUM(L122)</f>
        <v>0</v>
      </c>
      <c r="M23" s="33">
        <f t="shared" si="28"/>
        <v>0</v>
      </c>
      <c r="N23" s="33">
        <f t="shared" si="28"/>
        <v>0</v>
      </c>
      <c r="O23" s="33">
        <f t="shared" si="28"/>
        <v>0</v>
      </c>
      <c r="P23" s="33">
        <f t="shared" si="11"/>
        <v>0</v>
      </c>
      <c r="Q23" s="33">
        <f t="shared" si="24"/>
        <v>0</v>
      </c>
      <c r="R23" s="33">
        <f t="shared" si="24"/>
        <v>0</v>
      </c>
      <c r="S23" s="33">
        <f t="shared" si="24"/>
        <v>0</v>
      </c>
      <c r="T23" s="33">
        <f t="shared" si="24"/>
        <v>0</v>
      </c>
      <c r="U23" s="33">
        <f t="shared" si="24"/>
        <v>0</v>
      </c>
      <c r="V23" s="33">
        <f t="shared" si="24"/>
        <v>0</v>
      </c>
      <c r="W23" s="33">
        <v>0</v>
      </c>
      <c r="X23" s="33">
        <v>0</v>
      </c>
      <c r="Y23" s="33">
        <f t="shared" si="25"/>
        <v>0</v>
      </c>
      <c r="Z23" s="33">
        <v>0</v>
      </c>
      <c r="AA23" s="33">
        <f t="shared" si="25"/>
        <v>0</v>
      </c>
      <c r="AB23" s="33">
        <f t="shared" si="25"/>
        <v>0</v>
      </c>
      <c r="AC23" s="33">
        <f t="shared" si="25"/>
        <v>0</v>
      </c>
      <c r="AD23" s="33">
        <f t="shared" si="25"/>
        <v>0</v>
      </c>
      <c r="AE23" s="33">
        <f t="shared" ref="AE23" si="29">SUM(AE122)</f>
        <v>0</v>
      </c>
      <c r="AF23" s="33">
        <f t="shared" ref="AF23:AN23" si="30">SUM(AF122)</f>
        <v>0</v>
      </c>
      <c r="AG23" s="33">
        <f t="shared" si="30"/>
        <v>0</v>
      </c>
      <c r="AH23" s="33">
        <f t="shared" si="30"/>
        <v>0</v>
      </c>
      <c r="AI23" s="33">
        <f t="shared" si="30"/>
        <v>0</v>
      </c>
      <c r="AJ23" s="33">
        <f t="shared" si="30"/>
        <v>0</v>
      </c>
      <c r="AK23" s="33">
        <f t="shared" si="30"/>
        <v>0</v>
      </c>
      <c r="AL23" s="33">
        <f t="shared" si="30"/>
        <v>0</v>
      </c>
      <c r="AM23" s="33">
        <f t="shared" si="30"/>
        <v>0</v>
      </c>
      <c r="AN23" s="33">
        <f t="shared" si="30"/>
        <v>0</v>
      </c>
      <c r="AO23" s="63"/>
      <c r="AP23" s="31"/>
      <c r="AQ23" s="31"/>
      <c r="AR23" s="29"/>
    </row>
    <row r="24" spans="1:44" ht="19.5" customHeight="1" x14ac:dyDescent="0.25">
      <c r="A24" s="32" t="s">
        <v>277</v>
      </c>
      <c r="B24" s="32" t="s">
        <v>278</v>
      </c>
      <c r="C24" s="32" t="s">
        <v>104</v>
      </c>
      <c r="D24" s="33">
        <f t="shared" si="21"/>
        <v>0</v>
      </c>
      <c r="E24" s="33">
        <f t="shared" si="21"/>
        <v>0</v>
      </c>
      <c r="F24" s="33">
        <f t="shared" si="21"/>
        <v>0</v>
      </c>
      <c r="G24" s="33">
        <f t="shared" si="21"/>
        <v>0</v>
      </c>
      <c r="H24" s="33">
        <f>SUM(H123)</f>
        <v>0.8710067595434251</v>
      </c>
      <c r="I24" s="33">
        <f>SUM(I123)</f>
        <v>0.8710067595434251</v>
      </c>
      <c r="J24" s="33">
        <f t="shared" si="22"/>
        <v>0</v>
      </c>
      <c r="K24" s="33">
        <v>142.98325202572545</v>
      </c>
      <c r="L24" s="33">
        <f t="shared" ref="L24:O24" si="31">SUM(L123)</f>
        <v>0</v>
      </c>
      <c r="M24" s="33">
        <f t="shared" si="31"/>
        <v>0.61961587839981691</v>
      </c>
      <c r="N24" s="33">
        <f t="shared" si="31"/>
        <v>142.36363581399235</v>
      </c>
      <c r="O24" s="33">
        <f t="shared" si="31"/>
        <v>0</v>
      </c>
      <c r="P24" s="33">
        <f>Q24+R24+S24+T24</f>
        <v>83.682466178881</v>
      </c>
      <c r="Q24" s="33">
        <f t="shared" si="24"/>
        <v>0</v>
      </c>
      <c r="R24" s="33">
        <f t="shared" si="24"/>
        <v>0.61961587839981691</v>
      </c>
      <c r="S24" s="33">
        <f t="shared" si="24"/>
        <v>83.062850300481188</v>
      </c>
      <c r="T24" s="33">
        <f t="shared" si="24"/>
        <v>0</v>
      </c>
      <c r="U24" s="33">
        <f t="shared" si="24"/>
        <v>0</v>
      </c>
      <c r="V24" s="33">
        <f t="shared" si="24"/>
        <v>0</v>
      </c>
      <c r="W24" s="33">
        <v>0.86143075954342507</v>
      </c>
      <c r="X24" s="33">
        <v>112.50950406881002</v>
      </c>
      <c r="Y24" s="33">
        <f t="shared" si="25"/>
        <v>0.86143075954342507</v>
      </c>
      <c r="Z24" s="33">
        <f>65.0454675465716/1.2</f>
        <v>54.20455628880967</v>
      </c>
      <c r="AA24" s="33">
        <f t="shared" si="25"/>
        <v>0</v>
      </c>
      <c r="AB24" s="33">
        <f t="shared" si="25"/>
        <v>0</v>
      </c>
      <c r="AC24" s="33">
        <f t="shared" si="25"/>
        <v>24.301665009457686</v>
      </c>
      <c r="AD24" s="33">
        <f t="shared" si="25"/>
        <v>23.174087693333334</v>
      </c>
      <c r="AE24" s="33">
        <f t="shared" ref="AE24" si="32">SUM(AE123)</f>
        <v>6.0818119474581103</v>
      </c>
      <c r="AF24" s="33">
        <f t="shared" ref="AF24:AN24" si="33">SUM(AF123)</f>
        <v>6.213551196737999</v>
      </c>
      <c r="AG24" s="33">
        <f t="shared" si="33"/>
        <v>9.027099999999999E-2</v>
      </c>
      <c r="AH24" s="33">
        <f t="shared" si="33"/>
        <v>9.027099999999999E-2</v>
      </c>
      <c r="AI24" s="33">
        <f t="shared" si="33"/>
        <v>64.47341294278506</v>
      </c>
      <c r="AJ24" s="33">
        <f t="shared" si="33"/>
        <v>6.1684651627850577</v>
      </c>
      <c r="AK24" s="33">
        <f t="shared" si="33"/>
        <v>48.036091126024608</v>
      </c>
      <c r="AL24" s="33">
        <f t="shared" si="33"/>
        <v>48.036091126024608</v>
      </c>
      <c r="AM24" s="33">
        <f t="shared" si="33"/>
        <v>142.98325202572545</v>
      </c>
      <c r="AN24" s="33">
        <f t="shared" si="33"/>
        <v>83.682466178881015</v>
      </c>
      <c r="AO24" s="63"/>
      <c r="AP24" s="31"/>
      <c r="AQ24" s="31"/>
      <c r="AR24" s="29"/>
    </row>
    <row r="25" spans="1:44" ht="19.5" customHeight="1" x14ac:dyDescent="0.25">
      <c r="A25" s="60"/>
      <c r="B25" s="60"/>
      <c r="C25" s="62"/>
      <c r="D25" s="62"/>
      <c r="E25" s="62"/>
      <c r="F25" s="62"/>
      <c r="G25" s="62"/>
      <c r="H25" s="62"/>
      <c r="I25" s="62"/>
      <c r="J25" s="62"/>
      <c r="K25" s="33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3"/>
      <c r="AP25" s="31"/>
      <c r="AQ25" s="31"/>
      <c r="AR25" s="29"/>
    </row>
    <row r="26" spans="1:44" ht="22.5" customHeight="1" x14ac:dyDescent="0.25">
      <c r="A26" s="35" t="s">
        <v>20</v>
      </c>
      <c r="B26" s="36" t="s">
        <v>103</v>
      </c>
      <c r="C26" s="37" t="s">
        <v>102</v>
      </c>
      <c r="D26" s="38" t="s">
        <v>102</v>
      </c>
      <c r="E26" s="39" t="s">
        <v>102</v>
      </c>
      <c r="F26" s="39" t="s">
        <v>102</v>
      </c>
      <c r="G26" s="39" t="s">
        <v>102</v>
      </c>
      <c r="H26" s="40">
        <f>H27+H57+H123+H118+H121+H122</f>
        <v>81.924475227843089</v>
      </c>
      <c r="I26" s="40">
        <f>I27+I57+I123+I118+I121+I122</f>
        <v>75.729693888571006</v>
      </c>
      <c r="J26" s="40">
        <f>J27+J57+J123+J118+J121+J122</f>
        <v>0</v>
      </c>
      <c r="K26" s="33">
        <v>985.42319930133249</v>
      </c>
      <c r="L26" s="39">
        <f t="shared" ref="L26:O26" si="34">L27+L57+L123+L118+L121+L122</f>
        <v>27.210045017011101</v>
      </c>
      <c r="M26" s="39">
        <f t="shared" si="34"/>
        <v>488.46615883545564</v>
      </c>
      <c r="N26" s="39">
        <v>469.74722423798408</v>
      </c>
      <c r="O26" s="39">
        <f t="shared" si="34"/>
        <v>0</v>
      </c>
      <c r="P26" s="39">
        <f>P27+P57+P123+P118+P121+P122</f>
        <v>897.60996878492597</v>
      </c>
      <c r="Q26" s="39">
        <f>Q27+Q57+Q123+Q118+Q121+Q122</f>
        <v>30.064652679999998</v>
      </c>
      <c r="R26" s="39">
        <f>R27+R57+R123+R118+R121+R122</f>
        <v>468.37877158278923</v>
      </c>
      <c r="S26" s="39">
        <f>S27+S57+S123+S118+S121+S122</f>
        <v>399.16654452213686</v>
      </c>
      <c r="T26" s="39">
        <f>T27+T57+T123+T118+T121+T122</f>
        <v>0</v>
      </c>
      <c r="U26" s="41">
        <v>0</v>
      </c>
      <c r="V26" s="41">
        <v>0</v>
      </c>
      <c r="W26" s="41">
        <v>60.280701750605786</v>
      </c>
      <c r="X26" s="41">
        <f>361.754846790988/1.2</f>
        <v>301.46237232582331</v>
      </c>
      <c r="Y26" s="41">
        <f>Y27+Y57+Y123+Y118+Y121+Y122</f>
        <v>47.255118740111179</v>
      </c>
      <c r="Z26" s="41">
        <f>311.216242264934/1.2</f>
        <v>259.34686855411167</v>
      </c>
      <c r="AA26" s="41">
        <f t="shared" ref="AA26:AL26" si="35">AA27+AA57+AA123+AA118+AA121+AA122</f>
        <v>17.488613999999998</v>
      </c>
      <c r="AB26" s="41">
        <f t="shared" si="35"/>
        <v>8.9812305100000014</v>
      </c>
      <c r="AC26" s="41">
        <f t="shared" si="35"/>
        <v>196.50489585859705</v>
      </c>
      <c r="AD26" s="41">
        <f t="shared" si="35"/>
        <v>182.71119656333332</v>
      </c>
      <c r="AE26" s="41">
        <f t="shared" si="35"/>
        <v>318.3147332382286</v>
      </c>
      <c r="AF26" s="41">
        <f t="shared" si="35"/>
        <v>275.90844677673806</v>
      </c>
      <c r="AG26" s="41">
        <f t="shared" si="35"/>
        <v>151.65267554535001</v>
      </c>
      <c r="AH26" s="41">
        <f t="shared" si="35"/>
        <v>170.48199588</v>
      </c>
      <c r="AI26" s="41">
        <f t="shared" si="35"/>
        <v>150.51095203449643</v>
      </c>
      <c r="AJ26" s="41">
        <f t="shared" si="35"/>
        <v>108.39548981278506</v>
      </c>
      <c r="AK26" s="41">
        <f t="shared" si="35"/>
        <v>150.95142029132703</v>
      </c>
      <c r="AL26" s="41">
        <f t="shared" si="35"/>
        <v>150.95142029132703</v>
      </c>
      <c r="AM26" s="39">
        <f>AC26+AE26+AG26+AI26+AK26</f>
        <v>967.93467696799917</v>
      </c>
      <c r="AN26" s="39">
        <f t="shared" ref="AN26:AN59" si="36">AD26+AF26+AH26+AJ26+AL26</f>
        <v>888.44854932418343</v>
      </c>
      <c r="AO26" s="64"/>
      <c r="AP26" s="31"/>
      <c r="AQ26" s="31"/>
      <c r="AR26" s="29"/>
    </row>
    <row r="27" spans="1:44" x14ac:dyDescent="0.25">
      <c r="A27" s="42" t="s">
        <v>21</v>
      </c>
      <c r="B27" s="43" t="s">
        <v>22</v>
      </c>
      <c r="C27" s="44" t="s">
        <v>104</v>
      </c>
      <c r="D27" s="45" t="s">
        <v>102</v>
      </c>
      <c r="E27" s="39" t="s">
        <v>102</v>
      </c>
      <c r="F27" s="39" t="s">
        <v>102</v>
      </c>
      <c r="G27" s="39" t="s">
        <v>102</v>
      </c>
      <c r="H27" s="39">
        <f>H28+H40+H43+H52</f>
        <v>0.63436494959999989</v>
      </c>
      <c r="I27" s="39">
        <f>I28+I40+I43+I52</f>
        <v>0.63436494959999989</v>
      </c>
      <c r="J27" s="39">
        <f>J28+J40+J43+J52</f>
        <v>0</v>
      </c>
      <c r="K27" s="33">
        <v>354.45166799658506</v>
      </c>
      <c r="L27" s="40">
        <f>L28+L52</f>
        <v>15.104685</v>
      </c>
      <c r="M27" s="40">
        <f t="shared" ref="M27:O27" si="37">M28+M52</f>
        <v>336.81694688723462</v>
      </c>
      <c r="N27" s="40">
        <f t="shared" si="37"/>
        <v>2.5297521093499999</v>
      </c>
      <c r="O27" s="40">
        <f t="shared" si="37"/>
        <v>0</v>
      </c>
      <c r="P27" s="40">
        <f>P28+P40+P43+P52</f>
        <v>331.36362449000001</v>
      </c>
      <c r="Q27" s="40">
        <f>Q28+Q40+Q43+Q52</f>
        <v>15.104685</v>
      </c>
      <c r="R27" s="40">
        <f>R28+R40+R43+R52</f>
        <v>315.14710001000003</v>
      </c>
      <c r="S27" s="40">
        <f>S28+S40+S43+S52</f>
        <v>1.11183948</v>
      </c>
      <c r="T27" s="40">
        <f>T28+T40+T43+T52</f>
        <v>0</v>
      </c>
      <c r="U27" s="41">
        <v>0</v>
      </c>
      <c r="V27" s="41">
        <v>0</v>
      </c>
      <c r="W27" s="39">
        <v>0</v>
      </c>
      <c r="X27" s="39">
        <v>0</v>
      </c>
      <c r="Y27" s="39">
        <f t="shared" ref="Y27:AL27" si="38">Y28+Y40+Y43+Y52</f>
        <v>0</v>
      </c>
      <c r="Z27" s="39">
        <f>19.3792908/1.2</f>
        <v>16.149409000000002</v>
      </c>
      <c r="AA27" s="39">
        <f t="shared" si="38"/>
        <v>12.9</v>
      </c>
      <c r="AB27" s="39">
        <f t="shared" si="38"/>
        <v>6.5441790000000015</v>
      </c>
      <c r="AC27" s="39">
        <f t="shared" si="38"/>
        <v>72.472355572683341</v>
      </c>
      <c r="AD27" s="39">
        <f t="shared" si="38"/>
        <v>57.78377717</v>
      </c>
      <c r="AE27" s="39">
        <f t="shared" si="38"/>
        <v>241.71203709056834</v>
      </c>
      <c r="AF27" s="39">
        <f t="shared" si="38"/>
        <v>203.07325880000002</v>
      </c>
      <c r="AG27" s="39">
        <f t="shared" si="38"/>
        <v>27.085083000000001</v>
      </c>
      <c r="AH27" s="39">
        <f>AH28+AH40+AH43+AH52</f>
        <v>47.813000619999997</v>
      </c>
      <c r="AI27" s="39">
        <f t="shared" si="38"/>
        <v>0</v>
      </c>
      <c r="AJ27" s="39">
        <f t="shared" si="38"/>
        <v>16.149409000000002</v>
      </c>
      <c r="AK27" s="39">
        <f t="shared" si="38"/>
        <v>0</v>
      </c>
      <c r="AL27" s="39">
        <f t="shared" si="38"/>
        <v>0</v>
      </c>
      <c r="AM27" s="39">
        <f t="shared" ref="AM27:AM60" si="39">AC27+AE27+AG27+AI27+AK27</f>
        <v>341.26947566325168</v>
      </c>
      <c r="AN27" s="39">
        <f t="shared" si="36"/>
        <v>324.81944558999999</v>
      </c>
      <c r="AO27" s="39"/>
      <c r="AP27" s="31"/>
      <c r="AQ27" s="31"/>
    </row>
    <row r="28" spans="1:44" ht="31.5" x14ac:dyDescent="0.25">
      <c r="A28" s="42" t="s">
        <v>23</v>
      </c>
      <c r="B28" s="43" t="s">
        <v>24</v>
      </c>
      <c r="C28" s="44" t="s">
        <v>104</v>
      </c>
      <c r="D28" s="45" t="s">
        <v>102</v>
      </c>
      <c r="E28" s="39" t="s">
        <v>102</v>
      </c>
      <c r="F28" s="39" t="s">
        <v>102</v>
      </c>
      <c r="G28" s="39" t="s">
        <v>102</v>
      </c>
      <c r="H28" s="39">
        <v>0</v>
      </c>
      <c r="I28" s="39">
        <f>SUM(I29,I30,I31)</f>
        <v>0</v>
      </c>
      <c r="J28" s="39">
        <f t="shared" ref="J28:AL28" si="40">SUM(J29,J30,J31)</f>
        <v>0</v>
      </c>
      <c r="K28" s="33">
        <v>236.20854264410167</v>
      </c>
      <c r="L28" s="40">
        <f t="shared" ref="L28:O28" si="41">SUM(L29,L30,L31)</f>
        <v>8.9150219999999987</v>
      </c>
      <c r="M28" s="40">
        <f t="shared" si="41"/>
        <v>227.29352064410165</v>
      </c>
      <c r="N28" s="40">
        <f t="shared" si="41"/>
        <v>0</v>
      </c>
      <c r="O28" s="40">
        <f t="shared" si="41"/>
        <v>0</v>
      </c>
      <c r="P28" s="40">
        <f>SUM(P29,P30,P31)</f>
        <v>236.06371517000002</v>
      </c>
      <c r="Q28" s="40">
        <f t="shared" ref="Q28:T28" si="42">SUM(Q29,Q30,Q31)</f>
        <v>8.9150219999999987</v>
      </c>
      <c r="R28" s="40">
        <f>SUM(R29,R30,R31)</f>
        <v>227.14869317000003</v>
      </c>
      <c r="S28" s="40">
        <f t="shared" si="42"/>
        <v>0</v>
      </c>
      <c r="T28" s="40">
        <f t="shared" si="42"/>
        <v>0</v>
      </c>
      <c r="U28" s="41">
        <v>0</v>
      </c>
      <c r="V28" s="41">
        <v>0</v>
      </c>
      <c r="W28" s="39">
        <v>0</v>
      </c>
      <c r="X28" s="39">
        <v>0</v>
      </c>
      <c r="Y28" s="39">
        <f t="shared" ref="Y28" si="43">SUM(Y29,Y30,Y31)</f>
        <v>0</v>
      </c>
      <c r="Z28" s="39">
        <f>19.3792908/1.2</f>
        <v>16.149409000000002</v>
      </c>
      <c r="AA28" s="39">
        <f t="shared" ref="AA28:AB28" si="44">SUM(AA29,AA30,AA31)</f>
        <v>7.25</v>
      </c>
      <c r="AB28" s="39">
        <f t="shared" si="44"/>
        <v>0.43451600000000007</v>
      </c>
      <c r="AC28" s="39">
        <f t="shared" si="40"/>
        <v>8.7271231833333331</v>
      </c>
      <c r="AD28" s="39">
        <f t="shared" si="40"/>
        <v>7.8708999999999998</v>
      </c>
      <c r="AE28" s="39">
        <f>SUM(AE29,AE30,AE31)</f>
        <v>193.14633646076834</v>
      </c>
      <c r="AF28" s="39">
        <f>SUM(AF29,AF30,AF31)</f>
        <v>163.79588955</v>
      </c>
      <c r="AG28" s="39">
        <f>SUM(AG29,AG30,AG31)</f>
        <v>27.085083000000001</v>
      </c>
      <c r="AH28" s="39">
        <f>SUM(AH29,AH30,AH31)</f>
        <v>47.813000619999997</v>
      </c>
      <c r="AI28" s="39">
        <f t="shared" si="40"/>
        <v>0</v>
      </c>
      <c r="AJ28" s="39">
        <f t="shared" si="40"/>
        <v>16.149409000000002</v>
      </c>
      <c r="AK28" s="39">
        <f t="shared" si="40"/>
        <v>0</v>
      </c>
      <c r="AL28" s="39">
        <f t="shared" si="40"/>
        <v>0</v>
      </c>
      <c r="AM28" s="39">
        <f t="shared" si="39"/>
        <v>228.95854264410167</v>
      </c>
      <c r="AN28" s="39">
        <f t="shared" si="36"/>
        <v>235.62919916999999</v>
      </c>
      <c r="AO28" s="39"/>
      <c r="AP28" s="31"/>
      <c r="AQ28" s="31"/>
    </row>
    <row r="29" spans="1:44" ht="36" customHeight="1" x14ac:dyDescent="0.25">
      <c r="A29" s="42" t="s">
        <v>25</v>
      </c>
      <c r="B29" s="43" t="s">
        <v>26</v>
      </c>
      <c r="C29" s="44" t="s">
        <v>104</v>
      </c>
      <c r="D29" s="45" t="s">
        <v>102</v>
      </c>
      <c r="E29" s="39" t="s">
        <v>102</v>
      </c>
      <c r="F29" s="39" t="s">
        <v>102</v>
      </c>
      <c r="G29" s="39" t="s">
        <v>102</v>
      </c>
      <c r="H29" s="39">
        <v>0</v>
      </c>
      <c r="I29" s="39">
        <v>0</v>
      </c>
      <c r="J29" s="39">
        <v>0</v>
      </c>
      <c r="K29" s="33">
        <v>0</v>
      </c>
      <c r="L29" s="39">
        <v>0</v>
      </c>
      <c r="M29" s="39">
        <v>0</v>
      </c>
      <c r="N29" s="39">
        <v>0</v>
      </c>
      <c r="O29" s="39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1">
        <v>0</v>
      </c>
      <c r="V29" s="41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9">
        <v>0</v>
      </c>
      <c r="AM29" s="39">
        <f t="shared" si="39"/>
        <v>0</v>
      </c>
      <c r="AN29" s="39">
        <f t="shared" si="36"/>
        <v>0</v>
      </c>
      <c r="AO29" s="39"/>
      <c r="AP29" s="31"/>
      <c r="AQ29" s="31"/>
    </row>
    <row r="30" spans="1:44" ht="31.5" x14ac:dyDescent="0.25">
      <c r="A30" s="42" t="s">
        <v>27</v>
      </c>
      <c r="B30" s="43" t="s">
        <v>28</v>
      </c>
      <c r="C30" s="44" t="s">
        <v>104</v>
      </c>
      <c r="D30" s="45" t="s">
        <v>102</v>
      </c>
      <c r="E30" s="39" t="s">
        <v>102</v>
      </c>
      <c r="F30" s="39" t="s">
        <v>102</v>
      </c>
      <c r="G30" s="39" t="s">
        <v>102</v>
      </c>
      <c r="H30" s="39">
        <v>0</v>
      </c>
      <c r="I30" s="39">
        <v>0</v>
      </c>
      <c r="J30" s="39">
        <v>0</v>
      </c>
      <c r="K30" s="33">
        <v>0</v>
      </c>
      <c r="L30" s="39">
        <v>0</v>
      </c>
      <c r="M30" s="39">
        <v>0</v>
      </c>
      <c r="N30" s="39">
        <v>0</v>
      </c>
      <c r="O30" s="39">
        <v>0</v>
      </c>
      <c r="P30" s="40">
        <v>0</v>
      </c>
      <c r="Q30" s="40">
        <v>0</v>
      </c>
      <c r="R30" s="40">
        <v>0</v>
      </c>
      <c r="S30" s="40">
        <f t="shared" ref="S30:AL30" si="45">S31</f>
        <v>0</v>
      </c>
      <c r="T30" s="40">
        <f t="shared" si="45"/>
        <v>0</v>
      </c>
      <c r="U30" s="41">
        <v>0</v>
      </c>
      <c r="V30" s="41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v>0</v>
      </c>
      <c r="AH30" s="39">
        <v>0</v>
      </c>
      <c r="AI30" s="39">
        <f t="shared" si="45"/>
        <v>0</v>
      </c>
      <c r="AJ30" s="39">
        <v>0</v>
      </c>
      <c r="AK30" s="39">
        <f t="shared" si="45"/>
        <v>0</v>
      </c>
      <c r="AL30" s="39">
        <f t="shared" si="45"/>
        <v>0</v>
      </c>
      <c r="AM30" s="39">
        <f t="shared" si="39"/>
        <v>0</v>
      </c>
      <c r="AN30" s="39">
        <f t="shared" si="36"/>
        <v>0</v>
      </c>
      <c r="AO30" s="39"/>
      <c r="AP30" s="31"/>
      <c r="AQ30" s="31"/>
    </row>
    <row r="31" spans="1:44" ht="31.5" x14ac:dyDescent="0.25">
      <c r="A31" s="42" t="s">
        <v>29</v>
      </c>
      <c r="B31" s="43" t="s">
        <v>30</v>
      </c>
      <c r="C31" s="44" t="s">
        <v>104</v>
      </c>
      <c r="D31" s="45" t="s">
        <v>102</v>
      </c>
      <c r="E31" s="39" t="s">
        <v>102</v>
      </c>
      <c r="F31" s="39" t="s">
        <v>102</v>
      </c>
      <c r="G31" s="39" t="s">
        <v>102</v>
      </c>
      <c r="H31" s="39">
        <v>0</v>
      </c>
      <c r="I31" s="39">
        <f>SUM(I32:I36)</f>
        <v>0</v>
      </c>
      <c r="J31" s="39">
        <f>SUM(J32:J36)</f>
        <v>0</v>
      </c>
      <c r="K31" s="33">
        <v>236.20854264410167</v>
      </c>
      <c r="L31" s="39">
        <f>SUM(L32:L36)</f>
        <v>8.9150219999999987</v>
      </c>
      <c r="M31" s="39">
        <f t="shared" ref="M31:O31" si="46">SUM(M32:M36)</f>
        <v>227.29352064410165</v>
      </c>
      <c r="N31" s="39">
        <f t="shared" si="46"/>
        <v>0</v>
      </c>
      <c r="O31" s="39">
        <f t="shared" si="46"/>
        <v>0</v>
      </c>
      <c r="P31" s="40">
        <f>SUM(P32:P39)</f>
        <v>236.06371517000002</v>
      </c>
      <c r="Q31" s="40">
        <f t="shared" ref="Q31:T31" si="47">SUM(Q32:Q39)</f>
        <v>8.9150219999999987</v>
      </c>
      <c r="R31" s="40">
        <f t="shared" si="47"/>
        <v>227.14869317000003</v>
      </c>
      <c r="S31" s="40">
        <f t="shared" si="47"/>
        <v>0</v>
      </c>
      <c r="T31" s="40">
        <f t="shared" si="47"/>
        <v>0</v>
      </c>
      <c r="U31" s="41">
        <v>0</v>
      </c>
      <c r="V31" s="41">
        <v>0</v>
      </c>
      <c r="W31" s="39">
        <f t="shared" ref="W31:Y31" si="48">SUM(W32:W36)</f>
        <v>0</v>
      </c>
      <c r="X31" s="39">
        <v>0</v>
      </c>
      <c r="Y31" s="39">
        <f t="shared" si="48"/>
        <v>0</v>
      </c>
      <c r="Z31" s="39">
        <f>19.3792908/1.2</f>
        <v>16.149409000000002</v>
      </c>
      <c r="AA31" s="39">
        <f t="shared" ref="AA31:AL31" si="49">SUM(AA32:AA36)</f>
        <v>7.25</v>
      </c>
      <c r="AB31" s="39">
        <f t="shared" si="49"/>
        <v>0.43451600000000007</v>
      </c>
      <c r="AC31" s="39">
        <f t="shared" si="49"/>
        <v>8.7271231833333331</v>
      </c>
      <c r="AD31" s="39">
        <f t="shared" si="49"/>
        <v>7.8708999999999998</v>
      </c>
      <c r="AE31" s="39">
        <f t="shared" si="49"/>
        <v>193.14633646076834</v>
      </c>
      <c r="AF31" s="39">
        <f t="shared" si="49"/>
        <v>163.79588955</v>
      </c>
      <c r="AG31" s="39">
        <f>SUM(AG32:AG36)</f>
        <v>27.085083000000001</v>
      </c>
      <c r="AH31" s="39">
        <f>SUM(AH32:AH37)</f>
        <v>47.813000619999997</v>
      </c>
      <c r="AI31" s="39">
        <f>SUM(AI32:AI39)</f>
        <v>0</v>
      </c>
      <c r="AJ31" s="39">
        <f>SUM(AJ32:AJ39)</f>
        <v>16.149409000000002</v>
      </c>
      <c r="AK31" s="39">
        <f t="shared" si="49"/>
        <v>0</v>
      </c>
      <c r="AL31" s="39">
        <f t="shared" si="49"/>
        <v>0</v>
      </c>
      <c r="AM31" s="39">
        <f t="shared" si="39"/>
        <v>228.95854264410167</v>
      </c>
      <c r="AN31" s="39">
        <f t="shared" si="36"/>
        <v>235.62919916999999</v>
      </c>
      <c r="AO31" s="39"/>
      <c r="AP31" s="31"/>
      <c r="AQ31" s="31"/>
    </row>
    <row r="32" spans="1:44" ht="54" customHeight="1" x14ac:dyDescent="0.25">
      <c r="A32" s="46" t="s">
        <v>229</v>
      </c>
      <c r="B32" s="47" t="s">
        <v>252</v>
      </c>
      <c r="C32" s="48" t="s">
        <v>189</v>
      </c>
      <c r="D32" s="45" t="s">
        <v>257</v>
      </c>
      <c r="E32" s="45">
        <v>2019</v>
      </c>
      <c r="F32" s="45">
        <v>2021</v>
      </c>
      <c r="G32" s="45">
        <v>2021</v>
      </c>
      <c r="H32" s="39" t="s">
        <v>102</v>
      </c>
      <c r="I32" s="39" t="str">
        <f t="shared" ref="I32:I51" si="50">H32</f>
        <v>нд</v>
      </c>
      <c r="J32" s="39">
        <v>0</v>
      </c>
      <c r="K32" s="33">
        <v>180.905396819435</v>
      </c>
      <c r="L32" s="39">
        <v>8.2185159999999993</v>
      </c>
      <c r="M32" s="39">
        <v>172.686880819435</v>
      </c>
      <c r="N32" s="39">
        <v>0</v>
      </c>
      <c r="O32" s="39">
        <v>0</v>
      </c>
      <c r="P32" s="40">
        <f>SUM(Q32:T32)</f>
        <v>169.4432276</v>
      </c>
      <c r="Q32" s="40">
        <f>AD32+AB32</f>
        <v>8.2185159999999993</v>
      </c>
      <c r="R32" s="40">
        <v>161.22471160000001</v>
      </c>
      <c r="S32" s="40">
        <f>N32</f>
        <v>0</v>
      </c>
      <c r="T32" s="40">
        <f>O32</f>
        <v>0</v>
      </c>
      <c r="U32" s="41">
        <v>0</v>
      </c>
      <c r="V32" s="41">
        <v>0</v>
      </c>
      <c r="W32" s="39" t="s">
        <v>102</v>
      </c>
      <c r="X32" s="39">
        <v>0</v>
      </c>
      <c r="Y32" s="39">
        <v>0</v>
      </c>
      <c r="Z32" s="39">
        <v>0</v>
      </c>
      <c r="AA32" s="39">
        <v>7.25</v>
      </c>
      <c r="AB32" s="39">
        <v>0.43451600000000007</v>
      </c>
      <c r="AC32" s="39">
        <v>7.9551119999999997</v>
      </c>
      <c r="AD32" s="39">
        <v>7.7839999999999998</v>
      </c>
      <c r="AE32" s="39">
        <f>165700.284819435/1000</f>
        <v>165.70028481943501</v>
      </c>
      <c r="AF32" s="39">
        <v>161.22471160000001</v>
      </c>
      <c r="AG32" s="39">
        <f>AG62+AG124+AG127+AG128+AG129</f>
        <v>0</v>
      </c>
      <c r="AH32" s="39">
        <v>0</v>
      </c>
      <c r="AI32" s="39">
        <v>0</v>
      </c>
      <c r="AJ32" s="39">
        <v>0</v>
      </c>
      <c r="AK32" s="39">
        <v>0</v>
      </c>
      <c r="AL32" s="39">
        <v>0</v>
      </c>
      <c r="AM32" s="39">
        <f>AC32+AE32+AG32+AI32+AK32</f>
        <v>173.655396819435</v>
      </c>
      <c r="AN32" s="39">
        <f t="shared" si="36"/>
        <v>169.0087116</v>
      </c>
      <c r="AO32" s="49" t="s">
        <v>384</v>
      </c>
      <c r="AP32" s="31"/>
      <c r="AQ32" s="31"/>
    </row>
    <row r="33" spans="1:43" ht="55.5" customHeight="1" x14ac:dyDescent="0.25">
      <c r="A33" s="32" t="s">
        <v>230</v>
      </c>
      <c r="B33" s="50" t="s">
        <v>253</v>
      </c>
      <c r="C33" s="32" t="s">
        <v>224</v>
      </c>
      <c r="D33" s="45" t="s">
        <v>257</v>
      </c>
      <c r="E33" s="45">
        <v>2020</v>
      </c>
      <c r="F33" s="45">
        <v>2020</v>
      </c>
      <c r="G33" s="45">
        <v>2021</v>
      </c>
      <c r="H33" s="39" t="s">
        <v>102</v>
      </c>
      <c r="I33" s="41" t="s">
        <v>102</v>
      </c>
      <c r="J33" s="41">
        <v>0</v>
      </c>
      <c r="K33" s="33">
        <v>1.4571223666666664</v>
      </c>
      <c r="L33" s="39">
        <v>8.6900000000000005E-2</v>
      </c>
      <c r="M33" s="39">
        <v>1.3702223666666664</v>
      </c>
      <c r="N33" s="39">
        <v>0</v>
      </c>
      <c r="O33" s="39">
        <v>0</v>
      </c>
      <c r="P33" s="40">
        <f t="shared" ref="P33:P39" si="51">SUM(Q33:T33)</f>
        <v>0.42358400000000007</v>
      </c>
      <c r="Q33" s="39">
        <f>AD33</f>
        <v>8.6900000000000005E-2</v>
      </c>
      <c r="R33" s="39">
        <f>AF33</f>
        <v>0.33668400000000004</v>
      </c>
      <c r="S33" s="39">
        <v>0</v>
      </c>
      <c r="T33" s="39">
        <v>0</v>
      </c>
      <c r="U33" s="41">
        <v>0</v>
      </c>
      <c r="V33" s="41">
        <v>0</v>
      </c>
      <c r="W33" s="39" t="s">
        <v>102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0.77201118333333341</v>
      </c>
      <c r="AD33" s="39">
        <v>8.6900000000000005E-2</v>
      </c>
      <c r="AE33" s="39">
        <f>685.111183333333/1000</f>
        <v>0.68511118333333298</v>
      </c>
      <c r="AF33" s="39">
        <v>0.33668400000000004</v>
      </c>
      <c r="AG33" s="39">
        <v>0</v>
      </c>
      <c r="AH33" s="39">
        <f>AG33</f>
        <v>0</v>
      </c>
      <c r="AI33" s="39">
        <v>0</v>
      </c>
      <c r="AJ33" s="39">
        <v>0</v>
      </c>
      <c r="AK33" s="39">
        <v>0</v>
      </c>
      <c r="AL33" s="39">
        <v>0</v>
      </c>
      <c r="AM33" s="39">
        <f t="shared" si="39"/>
        <v>1.4571223666666664</v>
      </c>
      <c r="AN33" s="39">
        <f t="shared" si="36"/>
        <v>0.42358400000000007</v>
      </c>
      <c r="AO33" s="49" t="s">
        <v>384</v>
      </c>
      <c r="AP33" s="31"/>
      <c r="AQ33" s="31"/>
    </row>
    <row r="34" spans="1:43" ht="48.75" customHeight="1" x14ac:dyDescent="0.25">
      <c r="A34" s="32" t="s">
        <v>315</v>
      </c>
      <c r="B34" s="50" t="s">
        <v>297</v>
      </c>
      <c r="C34" s="32" t="s">
        <v>238</v>
      </c>
      <c r="D34" s="45" t="s">
        <v>257</v>
      </c>
      <c r="E34" s="45">
        <v>2021</v>
      </c>
      <c r="F34" s="45" t="s">
        <v>102</v>
      </c>
      <c r="G34" s="45">
        <v>2022</v>
      </c>
      <c r="H34" s="39" t="s">
        <v>102</v>
      </c>
      <c r="I34" s="41" t="s">
        <v>102</v>
      </c>
      <c r="J34" s="41">
        <v>0</v>
      </c>
      <c r="K34" s="33">
        <v>49.679600407999999</v>
      </c>
      <c r="L34" s="39">
        <v>0.60960599999999998</v>
      </c>
      <c r="M34" s="39">
        <v>49.069994407999999</v>
      </c>
      <c r="N34" s="39">
        <v>0</v>
      </c>
      <c r="O34" s="39">
        <v>0</v>
      </c>
      <c r="P34" s="40">
        <f t="shared" si="51"/>
        <v>21.44343443</v>
      </c>
      <c r="Q34" s="39">
        <f>AF34</f>
        <v>0.60960599999999998</v>
      </c>
      <c r="R34" s="39">
        <f>AH34</f>
        <v>20.833828430000001</v>
      </c>
      <c r="S34" s="39">
        <v>0</v>
      </c>
      <c r="T34" s="39">
        <v>0</v>
      </c>
      <c r="U34" s="41">
        <v>0</v>
      </c>
      <c r="V34" s="41">
        <v>0</v>
      </c>
      <c r="W34" s="39" t="s">
        <v>102</v>
      </c>
      <c r="X34" s="39">
        <v>3.5527136788005009E-15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f>25144.603408/1000</f>
        <v>25.144603407999998</v>
      </c>
      <c r="AF34" s="39">
        <v>0.60960599999999998</v>
      </c>
      <c r="AG34" s="39">
        <v>24.534997000000001</v>
      </c>
      <c r="AH34" s="39">
        <f>20833.82843/1000</f>
        <v>20.833828430000001</v>
      </c>
      <c r="AI34" s="39">
        <v>0</v>
      </c>
      <c r="AJ34" s="39">
        <v>0</v>
      </c>
      <c r="AK34" s="39">
        <v>0</v>
      </c>
      <c r="AL34" s="39">
        <v>0</v>
      </c>
      <c r="AM34" s="39">
        <f t="shared" si="39"/>
        <v>49.679600407999999</v>
      </c>
      <c r="AN34" s="39">
        <f t="shared" si="36"/>
        <v>21.44343443</v>
      </c>
      <c r="AO34" s="49" t="s">
        <v>384</v>
      </c>
      <c r="AP34" s="31"/>
      <c r="AQ34" s="31"/>
    </row>
    <row r="35" spans="1:43" ht="35.25" customHeight="1" x14ac:dyDescent="0.25">
      <c r="A35" s="32" t="s">
        <v>236</v>
      </c>
      <c r="B35" s="50" t="s">
        <v>254</v>
      </c>
      <c r="C35" s="32" t="s">
        <v>261</v>
      </c>
      <c r="D35" s="45" t="s">
        <v>111</v>
      </c>
      <c r="E35" s="45">
        <v>2021</v>
      </c>
      <c r="F35" s="45" t="s">
        <v>102</v>
      </c>
      <c r="G35" s="45">
        <v>2021</v>
      </c>
      <c r="H35" s="39" t="s">
        <v>102</v>
      </c>
      <c r="I35" s="41" t="s">
        <v>102</v>
      </c>
      <c r="J35" s="41">
        <v>0</v>
      </c>
      <c r="K35" s="33">
        <v>1.6163370500000001</v>
      </c>
      <c r="L35" s="39">
        <v>0</v>
      </c>
      <c r="M35" s="39">
        <v>1.6163370500000001</v>
      </c>
      <c r="N35" s="39">
        <v>0</v>
      </c>
      <c r="O35" s="39">
        <v>0</v>
      </c>
      <c r="P35" s="40">
        <f t="shared" si="51"/>
        <v>1.62488795</v>
      </c>
      <c r="Q35" s="39">
        <v>0</v>
      </c>
      <c r="R35" s="39">
        <f>AF35</f>
        <v>1.62488795</v>
      </c>
      <c r="S35" s="39">
        <v>0</v>
      </c>
      <c r="T35" s="39">
        <v>0</v>
      </c>
      <c r="U35" s="41">
        <v>0</v>
      </c>
      <c r="V35" s="41">
        <v>0</v>
      </c>
      <c r="W35" s="39" t="s">
        <v>102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f>1616.33705/1000</f>
        <v>1.6163370500000001</v>
      </c>
      <c r="AF35" s="39">
        <v>1.62488795</v>
      </c>
      <c r="AG35" s="39">
        <v>0</v>
      </c>
      <c r="AH35" s="39">
        <f>AG35</f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f>AC35+AE35+AG35+AI35+AK35</f>
        <v>1.6163370500000001</v>
      </c>
      <c r="AN35" s="39">
        <f t="shared" si="36"/>
        <v>1.62488795</v>
      </c>
      <c r="AO35" s="49" t="s">
        <v>384</v>
      </c>
      <c r="AP35" s="31"/>
      <c r="AQ35" s="31"/>
    </row>
    <row r="36" spans="1:43" ht="39" customHeight="1" x14ac:dyDescent="0.25">
      <c r="A36" s="32" t="s">
        <v>237</v>
      </c>
      <c r="B36" s="50" t="s">
        <v>289</v>
      </c>
      <c r="C36" s="51" t="s">
        <v>293</v>
      </c>
      <c r="D36" s="45" t="s">
        <v>257</v>
      </c>
      <c r="E36" s="45">
        <v>2022</v>
      </c>
      <c r="F36" s="45" t="s">
        <v>102</v>
      </c>
      <c r="G36" s="45">
        <v>2022</v>
      </c>
      <c r="H36" s="39" t="s">
        <v>102</v>
      </c>
      <c r="I36" s="41" t="s">
        <v>102</v>
      </c>
      <c r="J36" s="41">
        <v>0</v>
      </c>
      <c r="K36" s="33">
        <v>2.5500859999999999</v>
      </c>
      <c r="L36" s="39">
        <v>0</v>
      </c>
      <c r="M36" s="39">
        <v>2.5500859999999999</v>
      </c>
      <c r="N36" s="39">
        <v>0</v>
      </c>
      <c r="O36" s="39" t="s">
        <v>102</v>
      </c>
      <c r="P36" s="40">
        <f t="shared" si="51"/>
        <v>1.9723666700000002</v>
      </c>
      <c r="Q36" s="39">
        <v>0</v>
      </c>
      <c r="R36" s="39">
        <f>AH36</f>
        <v>1.9723666700000002</v>
      </c>
      <c r="S36" s="39">
        <v>0</v>
      </c>
      <c r="T36" s="39">
        <v>0</v>
      </c>
      <c r="U36" s="41">
        <v>0</v>
      </c>
      <c r="V36" s="41">
        <v>0</v>
      </c>
      <c r="W36" s="39" t="s">
        <v>102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  <c r="AG36" s="39">
        <v>2.5500859999999999</v>
      </c>
      <c r="AH36" s="39">
        <f>1972.36667/1000</f>
        <v>1.9723666700000002</v>
      </c>
      <c r="AI36" s="39">
        <v>0</v>
      </c>
      <c r="AJ36" s="39">
        <v>0</v>
      </c>
      <c r="AK36" s="39">
        <v>0</v>
      </c>
      <c r="AL36" s="39">
        <v>0</v>
      </c>
      <c r="AM36" s="39">
        <f t="shared" si="39"/>
        <v>2.5500859999999999</v>
      </c>
      <c r="AN36" s="39">
        <f t="shared" si="36"/>
        <v>1.9723666700000002</v>
      </c>
      <c r="AO36" s="49" t="s">
        <v>384</v>
      </c>
      <c r="AP36" s="31"/>
      <c r="AQ36" s="31"/>
    </row>
    <row r="37" spans="1:43" ht="48.75" customHeight="1" x14ac:dyDescent="0.25">
      <c r="A37" s="32" t="s">
        <v>324</v>
      </c>
      <c r="B37" s="50" t="s">
        <v>318</v>
      </c>
      <c r="C37" s="51" t="s">
        <v>319</v>
      </c>
      <c r="D37" s="45" t="s">
        <v>257</v>
      </c>
      <c r="E37" s="45">
        <v>2022</v>
      </c>
      <c r="F37" s="45" t="s">
        <v>102</v>
      </c>
      <c r="G37" s="45">
        <v>2022</v>
      </c>
      <c r="H37" s="39" t="s">
        <v>102</v>
      </c>
      <c r="I37" s="41" t="s">
        <v>102</v>
      </c>
      <c r="J37" s="41">
        <v>0</v>
      </c>
      <c r="K37" s="33" t="s">
        <v>102</v>
      </c>
      <c r="L37" s="39" t="s">
        <v>102</v>
      </c>
      <c r="M37" s="39" t="s">
        <v>102</v>
      </c>
      <c r="N37" s="39" t="s">
        <v>102</v>
      </c>
      <c r="O37" s="39" t="s">
        <v>102</v>
      </c>
      <c r="P37" s="40">
        <f t="shared" si="51"/>
        <v>25.00680552</v>
      </c>
      <c r="Q37" s="39">
        <v>0</v>
      </c>
      <c r="R37" s="39">
        <f>AH37</f>
        <v>25.00680552</v>
      </c>
      <c r="S37" s="39">
        <v>0</v>
      </c>
      <c r="T37" s="39">
        <v>0</v>
      </c>
      <c r="U37" s="41">
        <v>0</v>
      </c>
      <c r="V37" s="41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  <c r="AG37" s="39" t="s">
        <v>102</v>
      </c>
      <c r="AH37" s="39">
        <f>25006.80552/1000</f>
        <v>25.00680552</v>
      </c>
      <c r="AI37" s="39">
        <v>0</v>
      </c>
      <c r="AJ37" s="39">
        <v>0</v>
      </c>
      <c r="AK37" s="39">
        <v>0</v>
      </c>
      <c r="AL37" s="39">
        <v>0</v>
      </c>
      <c r="AM37" s="39" t="s">
        <v>102</v>
      </c>
      <c r="AN37" s="39">
        <f t="shared" si="36"/>
        <v>25.00680552</v>
      </c>
      <c r="AO37" s="49" t="s">
        <v>384</v>
      </c>
      <c r="AP37" s="31"/>
      <c r="AQ37" s="31"/>
    </row>
    <row r="38" spans="1:43" ht="48.75" customHeight="1" x14ac:dyDescent="0.25">
      <c r="A38" s="32" t="s">
        <v>325</v>
      </c>
      <c r="B38" s="50" t="s">
        <v>320</v>
      </c>
      <c r="C38" s="51" t="s">
        <v>321</v>
      </c>
      <c r="D38" s="45" t="s">
        <v>257</v>
      </c>
      <c r="E38" s="45">
        <v>2023</v>
      </c>
      <c r="F38" s="45" t="s">
        <v>102</v>
      </c>
      <c r="G38" s="45">
        <v>2023</v>
      </c>
      <c r="H38" s="39" t="s">
        <v>102</v>
      </c>
      <c r="I38" s="41" t="s">
        <v>102</v>
      </c>
      <c r="J38" s="41">
        <v>0</v>
      </c>
      <c r="K38" s="33" t="s">
        <v>102</v>
      </c>
      <c r="L38" s="39" t="s">
        <v>102</v>
      </c>
      <c r="M38" s="39" t="s">
        <v>102</v>
      </c>
      <c r="N38" s="39" t="s">
        <v>102</v>
      </c>
      <c r="O38" s="39" t="s">
        <v>102</v>
      </c>
      <c r="P38" s="40">
        <f t="shared" si="51"/>
        <v>0.38375400000000004</v>
      </c>
      <c r="Q38" s="39">
        <v>0</v>
      </c>
      <c r="R38" s="39">
        <f>AJ38</f>
        <v>0.38375400000000004</v>
      </c>
      <c r="S38" s="39">
        <v>0</v>
      </c>
      <c r="T38" s="39">
        <v>0</v>
      </c>
      <c r="U38" s="41">
        <v>0</v>
      </c>
      <c r="V38" s="41">
        <v>0</v>
      </c>
      <c r="W38" s="39" t="s">
        <v>102</v>
      </c>
      <c r="X38" s="39">
        <v>0</v>
      </c>
      <c r="Y38" s="39">
        <v>0</v>
      </c>
      <c r="Z38" s="39">
        <f>0.4605048/1.2</f>
        <v>0.38375399999999998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  <c r="AG38" s="39">
        <v>0</v>
      </c>
      <c r="AH38" s="39">
        <v>0</v>
      </c>
      <c r="AI38" s="39" t="s">
        <v>102</v>
      </c>
      <c r="AJ38" s="39">
        <f>383.754/1000</f>
        <v>0.38375400000000004</v>
      </c>
      <c r="AK38" s="39">
        <v>0</v>
      </c>
      <c r="AL38" s="39">
        <v>0</v>
      </c>
      <c r="AM38" s="39" t="s">
        <v>102</v>
      </c>
      <c r="AN38" s="39">
        <f t="shared" si="36"/>
        <v>0.38375400000000004</v>
      </c>
      <c r="AO38" s="49" t="s">
        <v>384</v>
      </c>
      <c r="AP38" s="31"/>
      <c r="AQ38" s="31"/>
    </row>
    <row r="39" spans="1:43" ht="48.75" customHeight="1" x14ac:dyDescent="0.25">
      <c r="A39" s="32" t="s">
        <v>326</v>
      </c>
      <c r="B39" s="50" t="s">
        <v>322</v>
      </c>
      <c r="C39" s="51" t="s">
        <v>323</v>
      </c>
      <c r="D39" s="45" t="s">
        <v>257</v>
      </c>
      <c r="E39" s="45">
        <v>2023</v>
      </c>
      <c r="F39" s="45" t="s">
        <v>102</v>
      </c>
      <c r="G39" s="45">
        <v>2023</v>
      </c>
      <c r="H39" s="39" t="s">
        <v>102</v>
      </c>
      <c r="I39" s="41" t="s">
        <v>102</v>
      </c>
      <c r="J39" s="41">
        <v>0</v>
      </c>
      <c r="K39" s="33" t="s">
        <v>102</v>
      </c>
      <c r="L39" s="39" t="s">
        <v>102</v>
      </c>
      <c r="M39" s="39" t="s">
        <v>102</v>
      </c>
      <c r="N39" s="39" t="s">
        <v>102</v>
      </c>
      <c r="O39" s="39" t="s">
        <v>102</v>
      </c>
      <c r="P39" s="40">
        <f t="shared" si="51"/>
        <v>15.765655000000001</v>
      </c>
      <c r="Q39" s="39">
        <v>0</v>
      </c>
      <c r="R39" s="39">
        <f>AJ39</f>
        <v>15.765655000000001</v>
      </c>
      <c r="S39" s="39">
        <v>0</v>
      </c>
      <c r="T39" s="39">
        <v>0</v>
      </c>
      <c r="U39" s="41">
        <v>0</v>
      </c>
      <c r="V39" s="41">
        <v>0</v>
      </c>
      <c r="W39" s="39" t="s">
        <v>102</v>
      </c>
      <c r="X39" s="39">
        <v>0</v>
      </c>
      <c r="Y39" s="39">
        <v>0</v>
      </c>
      <c r="Z39" s="39">
        <f>18.918786/1.2</f>
        <v>15.765655000000001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  <c r="AG39" s="39">
        <v>0</v>
      </c>
      <c r="AH39" s="39">
        <v>0</v>
      </c>
      <c r="AI39" s="39" t="s">
        <v>102</v>
      </c>
      <c r="AJ39" s="39">
        <f>15765.655/1000</f>
        <v>15.765655000000001</v>
      </c>
      <c r="AK39" s="39">
        <v>0</v>
      </c>
      <c r="AL39" s="39">
        <v>0</v>
      </c>
      <c r="AM39" s="39" t="s">
        <v>102</v>
      </c>
      <c r="AN39" s="39">
        <f t="shared" si="36"/>
        <v>15.765655000000001</v>
      </c>
      <c r="AO39" s="49" t="s">
        <v>384</v>
      </c>
      <c r="AP39" s="31"/>
      <c r="AQ39" s="31"/>
    </row>
    <row r="40" spans="1:43" ht="31.5" x14ac:dyDescent="0.25">
      <c r="A40" s="42" t="s">
        <v>31</v>
      </c>
      <c r="B40" s="43" t="s">
        <v>32</v>
      </c>
      <c r="C40" s="44" t="s">
        <v>104</v>
      </c>
      <c r="D40" s="45" t="s">
        <v>102</v>
      </c>
      <c r="E40" s="39" t="s">
        <v>102</v>
      </c>
      <c r="F40" s="39" t="s">
        <v>102</v>
      </c>
      <c r="G40" s="39" t="s">
        <v>102</v>
      </c>
      <c r="H40" s="39">
        <v>0</v>
      </c>
      <c r="I40" s="39">
        <f t="shared" si="50"/>
        <v>0</v>
      </c>
      <c r="J40" s="39">
        <v>0</v>
      </c>
      <c r="K40" s="33">
        <v>0</v>
      </c>
      <c r="L40" s="39">
        <v>0</v>
      </c>
      <c r="M40" s="39">
        <v>0</v>
      </c>
      <c r="N40" s="39">
        <v>0</v>
      </c>
      <c r="O40" s="39">
        <v>0</v>
      </c>
      <c r="P40" s="40">
        <f t="shared" ref="P40:P51" si="52">K40</f>
        <v>0</v>
      </c>
      <c r="Q40" s="40">
        <f t="shared" ref="Q40:Q51" si="53">L40</f>
        <v>0</v>
      </c>
      <c r="R40" s="40">
        <f t="shared" ref="R40:R51" si="54">M40</f>
        <v>0</v>
      </c>
      <c r="S40" s="40">
        <f t="shared" ref="S40:S51" si="55">N40</f>
        <v>0</v>
      </c>
      <c r="T40" s="40">
        <f t="shared" ref="T40:T51" si="56">O40</f>
        <v>0</v>
      </c>
      <c r="U40" s="41">
        <v>0</v>
      </c>
      <c r="V40" s="41">
        <v>0</v>
      </c>
      <c r="W40" s="39">
        <v>0</v>
      </c>
      <c r="X40" s="39">
        <v>0</v>
      </c>
      <c r="Y40" s="39">
        <f t="shared" ref="Y40:Y51" si="57">X40</f>
        <v>0</v>
      </c>
      <c r="Z40" s="39">
        <v>0</v>
      </c>
      <c r="AA40" s="39">
        <v>0</v>
      </c>
      <c r="AB40" s="39">
        <f t="shared" ref="AB40:AB51" si="58">AA40</f>
        <v>0</v>
      </c>
      <c r="AC40" s="39">
        <v>0</v>
      </c>
      <c r="AD40" s="39">
        <f t="shared" ref="AD40:AD116" si="59">AC40</f>
        <v>0</v>
      </c>
      <c r="AE40" s="39">
        <f t="shared" ref="AE40:AF116" si="60">AD40</f>
        <v>0</v>
      </c>
      <c r="AF40" s="39">
        <f t="shared" si="60"/>
        <v>0</v>
      </c>
      <c r="AG40" s="39">
        <v>0</v>
      </c>
      <c r="AH40" s="39">
        <v>0</v>
      </c>
      <c r="AI40" s="39">
        <v>0</v>
      </c>
      <c r="AJ40" s="39">
        <v>0</v>
      </c>
      <c r="AK40" s="39">
        <v>0</v>
      </c>
      <c r="AL40" s="39">
        <v>0</v>
      </c>
      <c r="AM40" s="39">
        <f t="shared" si="39"/>
        <v>0</v>
      </c>
      <c r="AN40" s="39">
        <f t="shared" si="36"/>
        <v>0</v>
      </c>
      <c r="AO40" s="39"/>
      <c r="AP40" s="31"/>
      <c r="AQ40" s="31"/>
    </row>
    <row r="41" spans="1:43" ht="31.5" hidden="1" customHeight="1" x14ac:dyDescent="0.25">
      <c r="A41" s="42" t="s">
        <v>33</v>
      </c>
      <c r="B41" s="43" t="s">
        <v>34</v>
      </c>
      <c r="C41" s="44" t="s">
        <v>104</v>
      </c>
      <c r="D41" s="45" t="s">
        <v>102</v>
      </c>
      <c r="E41" s="39" t="s">
        <v>102</v>
      </c>
      <c r="F41" s="39" t="s">
        <v>102</v>
      </c>
      <c r="G41" s="39" t="s">
        <v>102</v>
      </c>
      <c r="H41" s="39">
        <v>0</v>
      </c>
      <c r="I41" s="39">
        <f t="shared" si="50"/>
        <v>0</v>
      </c>
      <c r="J41" s="39">
        <v>0</v>
      </c>
      <c r="K41" s="33">
        <v>0</v>
      </c>
      <c r="L41" s="39">
        <v>0</v>
      </c>
      <c r="M41" s="39">
        <v>0</v>
      </c>
      <c r="N41" s="39">
        <v>0</v>
      </c>
      <c r="O41" s="39">
        <v>0</v>
      </c>
      <c r="P41" s="40">
        <f t="shared" si="52"/>
        <v>0</v>
      </c>
      <c r="Q41" s="40">
        <f t="shared" si="53"/>
        <v>0</v>
      </c>
      <c r="R41" s="40">
        <f t="shared" si="54"/>
        <v>0</v>
      </c>
      <c r="S41" s="40">
        <f t="shared" si="55"/>
        <v>0</v>
      </c>
      <c r="T41" s="40">
        <f t="shared" si="56"/>
        <v>0</v>
      </c>
      <c r="U41" s="41">
        <v>0</v>
      </c>
      <c r="V41" s="41">
        <v>0</v>
      </c>
      <c r="W41" s="39">
        <v>0</v>
      </c>
      <c r="X41" s="39">
        <v>0</v>
      </c>
      <c r="Y41" s="39">
        <f t="shared" si="57"/>
        <v>0</v>
      </c>
      <c r="Z41" s="39">
        <v>0</v>
      </c>
      <c r="AA41" s="39">
        <v>0</v>
      </c>
      <c r="AB41" s="39">
        <f t="shared" si="58"/>
        <v>0</v>
      </c>
      <c r="AC41" s="39">
        <v>0</v>
      </c>
      <c r="AD41" s="39">
        <f t="shared" si="59"/>
        <v>0</v>
      </c>
      <c r="AE41" s="39">
        <f t="shared" si="60"/>
        <v>0</v>
      </c>
      <c r="AF41" s="39">
        <f t="shared" si="60"/>
        <v>0</v>
      </c>
      <c r="AG41" s="39">
        <v>0</v>
      </c>
      <c r="AH41" s="39" t="e">
        <f>AH42+AH47+AH50+#REF!</f>
        <v>#REF!</v>
      </c>
      <c r="AI41" s="39">
        <v>0</v>
      </c>
      <c r="AJ41" s="39">
        <v>0</v>
      </c>
      <c r="AK41" s="39">
        <v>0</v>
      </c>
      <c r="AL41" s="39">
        <v>0</v>
      </c>
      <c r="AM41" s="39">
        <f t="shared" si="39"/>
        <v>0</v>
      </c>
      <c r="AN41" s="39" t="e">
        <f t="shared" si="36"/>
        <v>#REF!</v>
      </c>
      <c r="AO41" s="39"/>
      <c r="AP41" s="31"/>
      <c r="AQ41" s="31"/>
    </row>
    <row r="42" spans="1:43" ht="31.5" hidden="1" customHeight="1" x14ac:dyDescent="0.25">
      <c r="A42" s="42" t="s">
        <v>35</v>
      </c>
      <c r="B42" s="43" t="s">
        <v>36</v>
      </c>
      <c r="C42" s="44" t="s">
        <v>104</v>
      </c>
      <c r="D42" s="45" t="s">
        <v>102</v>
      </c>
      <c r="E42" s="39" t="s">
        <v>102</v>
      </c>
      <c r="F42" s="39" t="s">
        <v>102</v>
      </c>
      <c r="G42" s="39" t="s">
        <v>102</v>
      </c>
      <c r="H42" s="39">
        <v>0</v>
      </c>
      <c r="I42" s="39">
        <f t="shared" si="50"/>
        <v>0</v>
      </c>
      <c r="J42" s="39">
        <v>0</v>
      </c>
      <c r="K42" s="33">
        <v>0</v>
      </c>
      <c r="L42" s="39">
        <v>0</v>
      </c>
      <c r="M42" s="39">
        <v>0</v>
      </c>
      <c r="N42" s="39">
        <v>0</v>
      </c>
      <c r="O42" s="39">
        <v>0</v>
      </c>
      <c r="P42" s="40">
        <f t="shared" si="52"/>
        <v>0</v>
      </c>
      <c r="Q42" s="40">
        <f t="shared" si="53"/>
        <v>0</v>
      </c>
      <c r="R42" s="40">
        <f t="shared" si="54"/>
        <v>0</v>
      </c>
      <c r="S42" s="40">
        <f t="shared" si="55"/>
        <v>0</v>
      </c>
      <c r="T42" s="40">
        <f t="shared" si="56"/>
        <v>0</v>
      </c>
      <c r="U42" s="41">
        <v>0</v>
      </c>
      <c r="V42" s="41">
        <v>0</v>
      </c>
      <c r="W42" s="39">
        <v>0</v>
      </c>
      <c r="X42" s="39">
        <v>0</v>
      </c>
      <c r="Y42" s="39">
        <f t="shared" si="57"/>
        <v>0</v>
      </c>
      <c r="Z42" s="39">
        <v>0</v>
      </c>
      <c r="AA42" s="39">
        <v>0</v>
      </c>
      <c r="AB42" s="39">
        <f t="shared" si="58"/>
        <v>0</v>
      </c>
      <c r="AC42" s="39">
        <v>0</v>
      </c>
      <c r="AD42" s="39">
        <f t="shared" si="59"/>
        <v>0</v>
      </c>
      <c r="AE42" s="39">
        <f t="shared" si="60"/>
        <v>0</v>
      </c>
      <c r="AF42" s="39">
        <f t="shared" si="60"/>
        <v>0</v>
      </c>
      <c r="AG42" s="39">
        <v>0</v>
      </c>
      <c r="AH42" s="39" t="e">
        <f>AH43+AH48+AH51+AH60</f>
        <v>#REF!</v>
      </c>
      <c r="AI42" s="39">
        <v>0</v>
      </c>
      <c r="AJ42" s="39">
        <v>0</v>
      </c>
      <c r="AK42" s="39">
        <v>0</v>
      </c>
      <c r="AL42" s="39">
        <v>0</v>
      </c>
      <c r="AM42" s="39">
        <f t="shared" si="39"/>
        <v>0</v>
      </c>
      <c r="AN42" s="39" t="e">
        <f t="shared" si="36"/>
        <v>#REF!</v>
      </c>
      <c r="AO42" s="39"/>
      <c r="AP42" s="31"/>
      <c r="AQ42" s="31"/>
    </row>
    <row r="43" spans="1:43" ht="31.5" x14ac:dyDescent="0.25">
      <c r="A43" s="42" t="s">
        <v>37</v>
      </c>
      <c r="B43" s="43" t="s">
        <v>38</v>
      </c>
      <c r="C43" s="44" t="s">
        <v>104</v>
      </c>
      <c r="D43" s="45" t="s">
        <v>102</v>
      </c>
      <c r="E43" s="39" t="s">
        <v>102</v>
      </c>
      <c r="F43" s="39" t="s">
        <v>102</v>
      </c>
      <c r="G43" s="39" t="s">
        <v>102</v>
      </c>
      <c r="H43" s="39">
        <v>0</v>
      </c>
      <c r="I43" s="39">
        <f t="shared" si="50"/>
        <v>0</v>
      </c>
      <c r="J43" s="39">
        <v>0</v>
      </c>
      <c r="K43" s="33">
        <v>0</v>
      </c>
      <c r="L43" s="39">
        <v>0</v>
      </c>
      <c r="M43" s="39">
        <v>0</v>
      </c>
      <c r="N43" s="39">
        <v>0</v>
      </c>
      <c r="O43" s="39">
        <v>0</v>
      </c>
      <c r="P43" s="40">
        <f t="shared" si="52"/>
        <v>0</v>
      </c>
      <c r="Q43" s="40">
        <f t="shared" si="53"/>
        <v>0</v>
      </c>
      <c r="R43" s="40">
        <f t="shared" si="54"/>
        <v>0</v>
      </c>
      <c r="S43" s="40">
        <f t="shared" si="55"/>
        <v>0</v>
      </c>
      <c r="T43" s="40">
        <f t="shared" si="56"/>
        <v>0</v>
      </c>
      <c r="U43" s="41">
        <v>0</v>
      </c>
      <c r="V43" s="41">
        <v>0</v>
      </c>
      <c r="W43" s="39">
        <v>0</v>
      </c>
      <c r="X43" s="39">
        <v>0</v>
      </c>
      <c r="Y43" s="39">
        <f t="shared" si="57"/>
        <v>0</v>
      </c>
      <c r="Z43" s="39">
        <v>0</v>
      </c>
      <c r="AA43" s="39">
        <v>0</v>
      </c>
      <c r="AB43" s="39">
        <f t="shared" si="58"/>
        <v>0</v>
      </c>
      <c r="AC43" s="39">
        <v>0</v>
      </c>
      <c r="AD43" s="39">
        <f t="shared" si="59"/>
        <v>0</v>
      </c>
      <c r="AE43" s="39">
        <f t="shared" si="60"/>
        <v>0</v>
      </c>
      <c r="AF43" s="39">
        <f t="shared" si="60"/>
        <v>0</v>
      </c>
      <c r="AG43" s="39">
        <v>0</v>
      </c>
      <c r="AH43" s="39">
        <v>0</v>
      </c>
      <c r="AI43" s="39">
        <v>0</v>
      </c>
      <c r="AJ43" s="39">
        <v>0</v>
      </c>
      <c r="AK43" s="39">
        <v>0</v>
      </c>
      <c r="AL43" s="39">
        <v>0</v>
      </c>
      <c r="AM43" s="39">
        <f t="shared" si="39"/>
        <v>0</v>
      </c>
      <c r="AN43" s="39">
        <f t="shared" si="36"/>
        <v>0</v>
      </c>
      <c r="AO43" s="39"/>
      <c r="AP43" s="31"/>
      <c r="AQ43" s="31"/>
    </row>
    <row r="44" spans="1:43" ht="31.5" hidden="1" customHeight="1" x14ac:dyDescent="0.25">
      <c r="A44" s="42" t="s">
        <v>39</v>
      </c>
      <c r="B44" s="43" t="s">
        <v>40</v>
      </c>
      <c r="C44" s="44" t="s">
        <v>104</v>
      </c>
      <c r="D44" s="45" t="s">
        <v>102</v>
      </c>
      <c r="E44" s="39" t="s">
        <v>102</v>
      </c>
      <c r="F44" s="39" t="s">
        <v>102</v>
      </c>
      <c r="G44" s="39" t="s">
        <v>102</v>
      </c>
      <c r="H44" s="39">
        <v>0</v>
      </c>
      <c r="I44" s="39">
        <f t="shared" si="50"/>
        <v>0</v>
      </c>
      <c r="J44" s="39">
        <v>0</v>
      </c>
      <c r="K44" s="33">
        <v>0</v>
      </c>
      <c r="L44" s="39">
        <v>0</v>
      </c>
      <c r="M44" s="39">
        <v>0</v>
      </c>
      <c r="N44" s="39">
        <v>0</v>
      </c>
      <c r="O44" s="39">
        <v>0</v>
      </c>
      <c r="P44" s="40">
        <f t="shared" si="52"/>
        <v>0</v>
      </c>
      <c r="Q44" s="40">
        <f t="shared" si="53"/>
        <v>0</v>
      </c>
      <c r="R44" s="40">
        <f t="shared" si="54"/>
        <v>0</v>
      </c>
      <c r="S44" s="40">
        <f t="shared" si="55"/>
        <v>0</v>
      </c>
      <c r="T44" s="40">
        <f t="shared" si="56"/>
        <v>0</v>
      </c>
      <c r="U44" s="41">
        <v>0</v>
      </c>
      <c r="V44" s="41">
        <v>0</v>
      </c>
      <c r="W44" s="39">
        <v>0</v>
      </c>
      <c r="X44" s="39">
        <v>0</v>
      </c>
      <c r="Y44" s="39">
        <f t="shared" si="57"/>
        <v>0</v>
      </c>
      <c r="Z44" s="39">
        <v>0</v>
      </c>
      <c r="AA44" s="39">
        <v>0</v>
      </c>
      <c r="AB44" s="39">
        <f t="shared" si="58"/>
        <v>0</v>
      </c>
      <c r="AC44" s="39">
        <v>0</v>
      </c>
      <c r="AD44" s="39">
        <f t="shared" si="59"/>
        <v>0</v>
      </c>
      <c r="AE44" s="39">
        <f t="shared" si="60"/>
        <v>0</v>
      </c>
      <c r="AF44" s="39">
        <f t="shared" si="60"/>
        <v>0</v>
      </c>
      <c r="AG44" s="39">
        <v>0</v>
      </c>
      <c r="AH44" s="39" t="e">
        <f>AH45+AH50+AH53+AH62</f>
        <v>#REF!</v>
      </c>
      <c r="AI44" s="39">
        <v>0</v>
      </c>
      <c r="AJ44" s="39">
        <v>0</v>
      </c>
      <c r="AK44" s="39">
        <v>0</v>
      </c>
      <c r="AL44" s="39">
        <v>0</v>
      </c>
      <c r="AM44" s="39">
        <f t="shared" si="39"/>
        <v>0</v>
      </c>
      <c r="AN44" s="39" t="e">
        <f t="shared" si="36"/>
        <v>#REF!</v>
      </c>
      <c r="AO44" s="39"/>
      <c r="AP44" s="31"/>
      <c r="AQ44" s="31"/>
    </row>
    <row r="45" spans="1:43" ht="57" hidden="1" customHeight="1" x14ac:dyDescent="0.25">
      <c r="A45" s="42" t="s">
        <v>39</v>
      </c>
      <c r="B45" s="43" t="s">
        <v>41</v>
      </c>
      <c r="C45" s="44" t="s">
        <v>104</v>
      </c>
      <c r="D45" s="45" t="s">
        <v>102</v>
      </c>
      <c r="E45" s="39" t="s">
        <v>102</v>
      </c>
      <c r="F45" s="39" t="s">
        <v>102</v>
      </c>
      <c r="G45" s="39" t="s">
        <v>102</v>
      </c>
      <c r="H45" s="39">
        <v>0</v>
      </c>
      <c r="I45" s="39">
        <f t="shared" si="50"/>
        <v>0</v>
      </c>
      <c r="J45" s="39">
        <v>0</v>
      </c>
      <c r="K45" s="33">
        <v>0</v>
      </c>
      <c r="L45" s="39">
        <v>0</v>
      </c>
      <c r="M45" s="39">
        <v>0</v>
      </c>
      <c r="N45" s="39">
        <v>0</v>
      </c>
      <c r="O45" s="39">
        <v>0</v>
      </c>
      <c r="P45" s="40">
        <f t="shared" si="52"/>
        <v>0</v>
      </c>
      <c r="Q45" s="40">
        <f t="shared" si="53"/>
        <v>0</v>
      </c>
      <c r="R45" s="40">
        <f t="shared" si="54"/>
        <v>0</v>
      </c>
      <c r="S45" s="40">
        <f t="shared" si="55"/>
        <v>0</v>
      </c>
      <c r="T45" s="40">
        <f t="shared" si="56"/>
        <v>0</v>
      </c>
      <c r="U45" s="41">
        <v>0</v>
      </c>
      <c r="V45" s="41">
        <v>0</v>
      </c>
      <c r="W45" s="39">
        <v>0</v>
      </c>
      <c r="X45" s="39">
        <v>0</v>
      </c>
      <c r="Y45" s="39">
        <f t="shared" si="57"/>
        <v>0</v>
      </c>
      <c r="Z45" s="39">
        <v>0</v>
      </c>
      <c r="AA45" s="39">
        <v>0</v>
      </c>
      <c r="AB45" s="39">
        <f t="shared" si="58"/>
        <v>0</v>
      </c>
      <c r="AC45" s="39">
        <v>0</v>
      </c>
      <c r="AD45" s="39">
        <f t="shared" si="59"/>
        <v>0</v>
      </c>
      <c r="AE45" s="39">
        <f t="shared" si="60"/>
        <v>0</v>
      </c>
      <c r="AF45" s="39">
        <f t="shared" si="60"/>
        <v>0</v>
      </c>
      <c r="AG45" s="39">
        <v>0</v>
      </c>
      <c r="AH45" s="39" t="e">
        <f>AH46+AH51+AH54+AH63</f>
        <v>#REF!</v>
      </c>
      <c r="AI45" s="39">
        <v>0</v>
      </c>
      <c r="AJ45" s="39">
        <v>0</v>
      </c>
      <c r="AK45" s="39">
        <v>0</v>
      </c>
      <c r="AL45" s="39">
        <v>0</v>
      </c>
      <c r="AM45" s="39">
        <f t="shared" si="39"/>
        <v>0</v>
      </c>
      <c r="AN45" s="39" t="e">
        <f t="shared" si="36"/>
        <v>#REF!</v>
      </c>
      <c r="AO45" s="39"/>
      <c r="AP45" s="31"/>
      <c r="AQ45" s="31"/>
    </row>
    <row r="46" spans="1:43" ht="53.25" hidden="1" customHeight="1" x14ac:dyDescent="0.25">
      <c r="A46" s="42" t="s">
        <v>39</v>
      </c>
      <c r="B46" s="43" t="s">
        <v>42</v>
      </c>
      <c r="C46" s="44" t="s">
        <v>104</v>
      </c>
      <c r="D46" s="45" t="s">
        <v>102</v>
      </c>
      <c r="E46" s="39" t="s">
        <v>102</v>
      </c>
      <c r="F46" s="39" t="s">
        <v>102</v>
      </c>
      <c r="G46" s="39" t="s">
        <v>102</v>
      </c>
      <c r="H46" s="39">
        <v>0</v>
      </c>
      <c r="I46" s="39">
        <f t="shared" si="50"/>
        <v>0</v>
      </c>
      <c r="J46" s="39">
        <v>0</v>
      </c>
      <c r="K46" s="33">
        <v>0</v>
      </c>
      <c r="L46" s="39">
        <v>0</v>
      </c>
      <c r="M46" s="39">
        <v>0</v>
      </c>
      <c r="N46" s="39">
        <v>0</v>
      </c>
      <c r="O46" s="39">
        <v>0</v>
      </c>
      <c r="P46" s="40">
        <f t="shared" si="52"/>
        <v>0</v>
      </c>
      <c r="Q46" s="40">
        <f t="shared" si="53"/>
        <v>0</v>
      </c>
      <c r="R46" s="40">
        <f t="shared" si="54"/>
        <v>0</v>
      </c>
      <c r="S46" s="40">
        <f t="shared" si="55"/>
        <v>0</v>
      </c>
      <c r="T46" s="40">
        <f t="shared" si="56"/>
        <v>0</v>
      </c>
      <c r="U46" s="41">
        <v>0</v>
      </c>
      <c r="V46" s="41">
        <v>0</v>
      </c>
      <c r="W46" s="39">
        <v>0</v>
      </c>
      <c r="X46" s="39">
        <v>0</v>
      </c>
      <c r="Y46" s="39">
        <f t="shared" si="57"/>
        <v>0</v>
      </c>
      <c r="Z46" s="39">
        <v>0</v>
      </c>
      <c r="AA46" s="39">
        <v>0</v>
      </c>
      <c r="AB46" s="39">
        <f t="shared" si="58"/>
        <v>0</v>
      </c>
      <c r="AC46" s="39">
        <v>0</v>
      </c>
      <c r="AD46" s="39">
        <f t="shared" si="59"/>
        <v>0</v>
      </c>
      <c r="AE46" s="39">
        <f t="shared" si="60"/>
        <v>0</v>
      </c>
      <c r="AF46" s="39">
        <f t="shared" si="60"/>
        <v>0</v>
      </c>
      <c r="AG46" s="39">
        <v>0</v>
      </c>
      <c r="AH46" s="39" t="e">
        <f>AH47+AH52+AH55+AH64</f>
        <v>#REF!</v>
      </c>
      <c r="AI46" s="39">
        <v>0</v>
      </c>
      <c r="AJ46" s="39">
        <v>0</v>
      </c>
      <c r="AK46" s="39">
        <v>0</v>
      </c>
      <c r="AL46" s="39">
        <v>0</v>
      </c>
      <c r="AM46" s="39">
        <f t="shared" si="39"/>
        <v>0</v>
      </c>
      <c r="AN46" s="39" t="e">
        <f t="shared" si="36"/>
        <v>#REF!</v>
      </c>
      <c r="AO46" s="39"/>
      <c r="AP46" s="31"/>
      <c r="AQ46" s="31"/>
    </row>
    <row r="47" spans="1:43" ht="55.5" hidden="1" customHeight="1" x14ac:dyDescent="0.25">
      <c r="A47" s="42" t="s">
        <v>39</v>
      </c>
      <c r="B47" s="43" t="s">
        <v>43</v>
      </c>
      <c r="C47" s="44" t="s">
        <v>104</v>
      </c>
      <c r="D47" s="45" t="s">
        <v>102</v>
      </c>
      <c r="E47" s="39" t="s">
        <v>102</v>
      </c>
      <c r="F47" s="39" t="s">
        <v>102</v>
      </c>
      <c r="G47" s="39" t="s">
        <v>102</v>
      </c>
      <c r="H47" s="39">
        <v>0</v>
      </c>
      <c r="I47" s="39">
        <f t="shared" si="50"/>
        <v>0</v>
      </c>
      <c r="J47" s="39">
        <v>0</v>
      </c>
      <c r="K47" s="33">
        <v>0</v>
      </c>
      <c r="L47" s="39">
        <v>0</v>
      </c>
      <c r="M47" s="39">
        <v>0</v>
      </c>
      <c r="N47" s="39">
        <v>0</v>
      </c>
      <c r="O47" s="39">
        <v>0</v>
      </c>
      <c r="P47" s="40">
        <f t="shared" si="52"/>
        <v>0</v>
      </c>
      <c r="Q47" s="40">
        <f t="shared" si="53"/>
        <v>0</v>
      </c>
      <c r="R47" s="40">
        <f t="shared" si="54"/>
        <v>0</v>
      </c>
      <c r="S47" s="40">
        <f t="shared" si="55"/>
        <v>0</v>
      </c>
      <c r="T47" s="40">
        <f t="shared" si="56"/>
        <v>0</v>
      </c>
      <c r="U47" s="41">
        <v>0</v>
      </c>
      <c r="V47" s="41">
        <v>0</v>
      </c>
      <c r="W47" s="39">
        <v>0</v>
      </c>
      <c r="X47" s="39">
        <v>0</v>
      </c>
      <c r="Y47" s="39">
        <f t="shared" si="57"/>
        <v>0</v>
      </c>
      <c r="Z47" s="39">
        <v>0</v>
      </c>
      <c r="AA47" s="39">
        <v>0</v>
      </c>
      <c r="AB47" s="39">
        <f t="shared" si="58"/>
        <v>0</v>
      </c>
      <c r="AC47" s="39">
        <v>0</v>
      </c>
      <c r="AD47" s="39">
        <f t="shared" si="59"/>
        <v>0</v>
      </c>
      <c r="AE47" s="39">
        <f t="shared" si="60"/>
        <v>0</v>
      </c>
      <c r="AF47" s="39">
        <f t="shared" si="60"/>
        <v>0</v>
      </c>
      <c r="AG47" s="39">
        <v>0</v>
      </c>
      <c r="AH47" s="39" t="e">
        <f>AH48+AH53+AH57+AH65</f>
        <v>#REF!</v>
      </c>
      <c r="AI47" s="39">
        <v>0</v>
      </c>
      <c r="AJ47" s="39">
        <v>0</v>
      </c>
      <c r="AK47" s="39">
        <v>0</v>
      </c>
      <c r="AL47" s="39">
        <v>0</v>
      </c>
      <c r="AM47" s="39">
        <f t="shared" si="39"/>
        <v>0</v>
      </c>
      <c r="AN47" s="39" t="e">
        <f t="shared" si="36"/>
        <v>#REF!</v>
      </c>
      <c r="AO47" s="39"/>
      <c r="AP47" s="31"/>
      <c r="AQ47" s="31"/>
    </row>
    <row r="48" spans="1:43" ht="31.5" hidden="1" customHeight="1" x14ac:dyDescent="0.25">
      <c r="A48" s="42" t="s">
        <v>44</v>
      </c>
      <c r="B48" s="43" t="s">
        <v>40</v>
      </c>
      <c r="C48" s="44" t="s">
        <v>104</v>
      </c>
      <c r="D48" s="45" t="s">
        <v>102</v>
      </c>
      <c r="E48" s="39" t="s">
        <v>102</v>
      </c>
      <c r="F48" s="39" t="s">
        <v>102</v>
      </c>
      <c r="G48" s="39" t="s">
        <v>102</v>
      </c>
      <c r="H48" s="39">
        <v>0</v>
      </c>
      <c r="I48" s="39">
        <f t="shared" si="50"/>
        <v>0</v>
      </c>
      <c r="J48" s="39">
        <v>0</v>
      </c>
      <c r="K48" s="33">
        <v>0</v>
      </c>
      <c r="L48" s="39">
        <v>0</v>
      </c>
      <c r="M48" s="39">
        <v>0</v>
      </c>
      <c r="N48" s="39">
        <v>0</v>
      </c>
      <c r="O48" s="39">
        <v>0</v>
      </c>
      <c r="P48" s="40">
        <f t="shared" si="52"/>
        <v>0</v>
      </c>
      <c r="Q48" s="40">
        <f t="shared" si="53"/>
        <v>0</v>
      </c>
      <c r="R48" s="40">
        <f t="shared" si="54"/>
        <v>0</v>
      </c>
      <c r="S48" s="40">
        <f t="shared" si="55"/>
        <v>0</v>
      </c>
      <c r="T48" s="40">
        <f t="shared" si="56"/>
        <v>0</v>
      </c>
      <c r="U48" s="41">
        <v>0</v>
      </c>
      <c r="V48" s="41">
        <v>0</v>
      </c>
      <c r="W48" s="39">
        <v>0</v>
      </c>
      <c r="X48" s="39">
        <v>0</v>
      </c>
      <c r="Y48" s="39">
        <f t="shared" si="57"/>
        <v>0</v>
      </c>
      <c r="Z48" s="39">
        <v>0</v>
      </c>
      <c r="AA48" s="39">
        <v>0</v>
      </c>
      <c r="AB48" s="39">
        <f t="shared" si="58"/>
        <v>0</v>
      </c>
      <c r="AC48" s="39">
        <v>0</v>
      </c>
      <c r="AD48" s="39">
        <f t="shared" si="59"/>
        <v>0</v>
      </c>
      <c r="AE48" s="39">
        <f t="shared" si="60"/>
        <v>0</v>
      </c>
      <c r="AF48" s="39">
        <f t="shared" si="60"/>
        <v>0</v>
      </c>
      <c r="AG48" s="39">
        <v>0</v>
      </c>
      <c r="AH48" s="39" t="e">
        <f>AH49+AH54+AH58+AH66</f>
        <v>#REF!</v>
      </c>
      <c r="AI48" s="39">
        <v>0</v>
      </c>
      <c r="AJ48" s="39">
        <v>0</v>
      </c>
      <c r="AK48" s="39">
        <v>0</v>
      </c>
      <c r="AL48" s="39">
        <v>0</v>
      </c>
      <c r="AM48" s="39">
        <f t="shared" si="39"/>
        <v>0</v>
      </c>
      <c r="AN48" s="39" t="e">
        <f t="shared" si="36"/>
        <v>#REF!</v>
      </c>
      <c r="AO48" s="39"/>
      <c r="AP48" s="31"/>
      <c r="AQ48" s="31"/>
    </row>
    <row r="49" spans="1:43" ht="56.25" hidden="1" customHeight="1" x14ac:dyDescent="0.25">
      <c r="A49" s="42" t="s">
        <v>44</v>
      </c>
      <c r="B49" s="43" t="s">
        <v>41</v>
      </c>
      <c r="C49" s="44" t="s">
        <v>104</v>
      </c>
      <c r="D49" s="45" t="s">
        <v>102</v>
      </c>
      <c r="E49" s="39" t="s">
        <v>102</v>
      </c>
      <c r="F49" s="39" t="s">
        <v>102</v>
      </c>
      <c r="G49" s="39" t="s">
        <v>102</v>
      </c>
      <c r="H49" s="39">
        <v>0</v>
      </c>
      <c r="I49" s="39">
        <f t="shared" si="50"/>
        <v>0</v>
      </c>
      <c r="J49" s="39">
        <v>0</v>
      </c>
      <c r="K49" s="33">
        <v>0</v>
      </c>
      <c r="L49" s="39">
        <v>0</v>
      </c>
      <c r="M49" s="39">
        <v>0</v>
      </c>
      <c r="N49" s="39">
        <v>0</v>
      </c>
      <c r="O49" s="39">
        <v>0</v>
      </c>
      <c r="P49" s="40">
        <f t="shared" si="52"/>
        <v>0</v>
      </c>
      <c r="Q49" s="40">
        <f t="shared" si="53"/>
        <v>0</v>
      </c>
      <c r="R49" s="40">
        <f t="shared" si="54"/>
        <v>0</v>
      </c>
      <c r="S49" s="40">
        <f t="shared" si="55"/>
        <v>0</v>
      </c>
      <c r="T49" s="40">
        <f t="shared" si="56"/>
        <v>0</v>
      </c>
      <c r="U49" s="41">
        <v>0</v>
      </c>
      <c r="V49" s="41">
        <v>0</v>
      </c>
      <c r="W49" s="39">
        <v>0</v>
      </c>
      <c r="X49" s="39">
        <v>0</v>
      </c>
      <c r="Y49" s="39">
        <f t="shared" si="57"/>
        <v>0</v>
      </c>
      <c r="Z49" s="39">
        <v>0</v>
      </c>
      <c r="AA49" s="39">
        <v>0</v>
      </c>
      <c r="AB49" s="39">
        <f t="shared" si="58"/>
        <v>0</v>
      </c>
      <c r="AC49" s="39">
        <v>0</v>
      </c>
      <c r="AD49" s="39">
        <f t="shared" si="59"/>
        <v>0</v>
      </c>
      <c r="AE49" s="39">
        <f t="shared" si="60"/>
        <v>0</v>
      </c>
      <c r="AF49" s="39">
        <f t="shared" si="60"/>
        <v>0</v>
      </c>
      <c r="AG49" s="39">
        <v>0</v>
      </c>
      <c r="AH49" s="39" t="e">
        <f>AH50+AH55+AH59+AH67</f>
        <v>#REF!</v>
      </c>
      <c r="AI49" s="39">
        <v>0</v>
      </c>
      <c r="AJ49" s="39">
        <v>0</v>
      </c>
      <c r="AK49" s="39">
        <v>0</v>
      </c>
      <c r="AL49" s="39">
        <v>0</v>
      </c>
      <c r="AM49" s="39">
        <f t="shared" si="39"/>
        <v>0</v>
      </c>
      <c r="AN49" s="39" t="e">
        <f t="shared" si="36"/>
        <v>#REF!</v>
      </c>
      <c r="AO49" s="39"/>
      <c r="AP49" s="31"/>
      <c r="AQ49" s="31"/>
    </row>
    <row r="50" spans="1:43" ht="56.25" hidden="1" customHeight="1" x14ac:dyDescent="0.25">
      <c r="A50" s="42" t="s">
        <v>44</v>
      </c>
      <c r="B50" s="43" t="s">
        <v>42</v>
      </c>
      <c r="C50" s="44" t="s">
        <v>104</v>
      </c>
      <c r="D50" s="45" t="s">
        <v>102</v>
      </c>
      <c r="E50" s="39" t="s">
        <v>102</v>
      </c>
      <c r="F50" s="39" t="s">
        <v>102</v>
      </c>
      <c r="G50" s="39" t="s">
        <v>102</v>
      </c>
      <c r="H50" s="39">
        <v>0</v>
      </c>
      <c r="I50" s="39">
        <f t="shared" si="50"/>
        <v>0</v>
      </c>
      <c r="J50" s="39">
        <v>0</v>
      </c>
      <c r="K50" s="33">
        <v>0</v>
      </c>
      <c r="L50" s="39">
        <v>0</v>
      </c>
      <c r="M50" s="39">
        <v>0</v>
      </c>
      <c r="N50" s="39">
        <v>0</v>
      </c>
      <c r="O50" s="39">
        <v>0</v>
      </c>
      <c r="P50" s="40">
        <f t="shared" si="52"/>
        <v>0</v>
      </c>
      <c r="Q50" s="40">
        <f t="shared" si="53"/>
        <v>0</v>
      </c>
      <c r="R50" s="40">
        <f t="shared" si="54"/>
        <v>0</v>
      </c>
      <c r="S50" s="40">
        <f t="shared" si="55"/>
        <v>0</v>
      </c>
      <c r="T50" s="40">
        <f t="shared" si="56"/>
        <v>0</v>
      </c>
      <c r="U50" s="41">
        <v>0</v>
      </c>
      <c r="V50" s="41">
        <v>0</v>
      </c>
      <c r="W50" s="39">
        <v>0</v>
      </c>
      <c r="X50" s="39">
        <v>0</v>
      </c>
      <c r="Y50" s="39">
        <f t="shared" si="57"/>
        <v>0</v>
      </c>
      <c r="Z50" s="39">
        <v>0</v>
      </c>
      <c r="AA50" s="39">
        <v>0</v>
      </c>
      <c r="AB50" s="39">
        <f t="shared" si="58"/>
        <v>0</v>
      </c>
      <c r="AC50" s="39">
        <v>0</v>
      </c>
      <c r="AD50" s="39">
        <f t="shared" si="59"/>
        <v>0</v>
      </c>
      <c r="AE50" s="39">
        <f t="shared" si="60"/>
        <v>0</v>
      </c>
      <c r="AF50" s="39">
        <f t="shared" si="60"/>
        <v>0</v>
      </c>
      <c r="AG50" s="39">
        <v>0</v>
      </c>
      <c r="AH50" s="39" t="e">
        <f>AH51+AH57+#REF!+AH68</f>
        <v>#REF!</v>
      </c>
      <c r="AI50" s="39">
        <v>0</v>
      </c>
      <c r="AJ50" s="39">
        <v>0</v>
      </c>
      <c r="AK50" s="39">
        <v>0</v>
      </c>
      <c r="AL50" s="39">
        <v>0</v>
      </c>
      <c r="AM50" s="39">
        <f t="shared" si="39"/>
        <v>0</v>
      </c>
      <c r="AN50" s="39" t="e">
        <f t="shared" si="36"/>
        <v>#REF!</v>
      </c>
      <c r="AO50" s="39"/>
      <c r="AP50" s="31"/>
      <c r="AQ50" s="31"/>
    </row>
    <row r="51" spans="1:43" ht="57" hidden="1" customHeight="1" x14ac:dyDescent="0.25">
      <c r="A51" s="42" t="s">
        <v>44</v>
      </c>
      <c r="B51" s="43" t="s">
        <v>45</v>
      </c>
      <c r="C51" s="44" t="s">
        <v>104</v>
      </c>
      <c r="D51" s="45" t="s">
        <v>102</v>
      </c>
      <c r="E51" s="39" t="s">
        <v>102</v>
      </c>
      <c r="F51" s="39" t="s">
        <v>102</v>
      </c>
      <c r="G51" s="39" t="s">
        <v>102</v>
      </c>
      <c r="H51" s="39">
        <v>0</v>
      </c>
      <c r="I51" s="39">
        <f t="shared" si="50"/>
        <v>0</v>
      </c>
      <c r="J51" s="39">
        <v>0</v>
      </c>
      <c r="K51" s="33">
        <v>0</v>
      </c>
      <c r="L51" s="39">
        <v>0</v>
      </c>
      <c r="M51" s="39">
        <v>0</v>
      </c>
      <c r="N51" s="39">
        <v>0</v>
      </c>
      <c r="O51" s="39">
        <v>0</v>
      </c>
      <c r="P51" s="40">
        <f t="shared" si="52"/>
        <v>0</v>
      </c>
      <c r="Q51" s="40">
        <f t="shared" si="53"/>
        <v>0</v>
      </c>
      <c r="R51" s="40">
        <f t="shared" si="54"/>
        <v>0</v>
      </c>
      <c r="S51" s="40">
        <f t="shared" si="55"/>
        <v>0</v>
      </c>
      <c r="T51" s="40">
        <f t="shared" si="56"/>
        <v>0</v>
      </c>
      <c r="U51" s="41">
        <v>0</v>
      </c>
      <c r="V51" s="41">
        <v>0</v>
      </c>
      <c r="W51" s="39">
        <v>0</v>
      </c>
      <c r="X51" s="39">
        <v>0</v>
      </c>
      <c r="Y51" s="39">
        <f t="shared" si="57"/>
        <v>0</v>
      </c>
      <c r="Z51" s="39">
        <v>0</v>
      </c>
      <c r="AA51" s="39">
        <v>0</v>
      </c>
      <c r="AB51" s="39">
        <f t="shared" si="58"/>
        <v>0</v>
      </c>
      <c r="AC51" s="39">
        <v>0</v>
      </c>
      <c r="AD51" s="39">
        <f t="shared" si="59"/>
        <v>0</v>
      </c>
      <c r="AE51" s="39">
        <f t="shared" si="60"/>
        <v>0</v>
      </c>
      <c r="AF51" s="39">
        <f t="shared" si="60"/>
        <v>0</v>
      </c>
      <c r="AG51" s="39">
        <v>0</v>
      </c>
      <c r="AH51" s="39">
        <f>AH52+AH58+AH60+AH69</f>
        <v>104.32081388</v>
      </c>
      <c r="AI51" s="39">
        <v>0</v>
      </c>
      <c r="AJ51" s="39">
        <v>0</v>
      </c>
      <c r="AK51" s="39">
        <v>0</v>
      </c>
      <c r="AL51" s="39">
        <v>0</v>
      </c>
      <c r="AM51" s="39">
        <f t="shared" si="39"/>
        <v>0</v>
      </c>
      <c r="AN51" s="39">
        <f t="shared" si="36"/>
        <v>104.32081388</v>
      </c>
      <c r="AO51" s="39"/>
      <c r="AP51" s="31"/>
      <c r="AQ51" s="31"/>
    </row>
    <row r="52" spans="1:43" ht="49.5" customHeight="1" x14ac:dyDescent="0.25">
      <c r="A52" s="42" t="s">
        <v>46</v>
      </c>
      <c r="B52" s="43" t="s">
        <v>47</v>
      </c>
      <c r="C52" s="44" t="s">
        <v>104</v>
      </c>
      <c r="D52" s="45" t="s">
        <v>102</v>
      </c>
      <c r="E52" s="39" t="s">
        <v>102</v>
      </c>
      <c r="F52" s="39" t="s">
        <v>102</v>
      </c>
      <c r="G52" s="39" t="s">
        <v>102</v>
      </c>
      <c r="H52" s="39">
        <v>0.63436494959999989</v>
      </c>
      <c r="I52" s="39">
        <f t="shared" ref="I52:AL52" si="61">SUM(I53,I55)</f>
        <v>0.63436494959999989</v>
      </c>
      <c r="J52" s="39">
        <f t="shared" si="61"/>
        <v>0</v>
      </c>
      <c r="K52" s="33">
        <v>117.96084135248334</v>
      </c>
      <c r="L52" s="40">
        <f>SUM(L53,L55)</f>
        <v>6.1896630000000012</v>
      </c>
      <c r="M52" s="40">
        <f t="shared" ref="M52:O52" si="62">SUM(M53,M55)</f>
        <v>109.52342624313299</v>
      </c>
      <c r="N52" s="40">
        <f t="shared" si="62"/>
        <v>2.5297521093499999</v>
      </c>
      <c r="O52" s="40">
        <f t="shared" si="62"/>
        <v>0</v>
      </c>
      <c r="P52" s="40">
        <f>SUM(P53,P55)</f>
        <v>95.299909320000012</v>
      </c>
      <c r="Q52" s="40">
        <f t="shared" si="61"/>
        <v>6.1896630000000012</v>
      </c>
      <c r="R52" s="40">
        <f t="shared" si="61"/>
        <v>87.998406840000015</v>
      </c>
      <c r="S52" s="40">
        <f t="shared" si="61"/>
        <v>1.11183948</v>
      </c>
      <c r="T52" s="40">
        <f t="shared" si="61"/>
        <v>0</v>
      </c>
      <c r="U52" s="41">
        <v>0</v>
      </c>
      <c r="V52" s="41">
        <v>0</v>
      </c>
      <c r="W52" s="39">
        <v>0</v>
      </c>
      <c r="X52" s="39">
        <v>0</v>
      </c>
      <c r="Y52" s="39">
        <f t="shared" ref="Y52" si="63">SUM(Y53,Y55)</f>
        <v>0</v>
      </c>
      <c r="Z52" s="39">
        <v>0</v>
      </c>
      <c r="AA52" s="39">
        <f t="shared" ref="AA52:AB52" si="64">SUM(AA53,AA55)</f>
        <v>5.65</v>
      </c>
      <c r="AB52" s="39">
        <f t="shared" si="64"/>
        <v>6.1096630000000012</v>
      </c>
      <c r="AC52" s="39">
        <f t="shared" si="61"/>
        <v>63.745232389350008</v>
      </c>
      <c r="AD52" s="39">
        <f t="shared" si="61"/>
        <v>49.912877170000002</v>
      </c>
      <c r="AE52" s="39">
        <f t="shared" ref="AE52" si="65">SUM(AE53,AE55)</f>
        <v>48.565700629799998</v>
      </c>
      <c r="AF52" s="39">
        <f t="shared" si="61"/>
        <v>39.277369250000007</v>
      </c>
      <c r="AG52" s="39">
        <f t="shared" si="61"/>
        <v>0</v>
      </c>
      <c r="AH52" s="39">
        <f t="shared" si="61"/>
        <v>0</v>
      </c>
      <c r="AI52" s="39">
        <f t="shared" si="61"/>
        <v>0</v>
      </c>
      <c r="AJ52" s="39">
        <f t="shared" si="61"/>
        <v>0</v>
      </c>
      <c r="AK52" s="39">
        <f t="shared" si="61"/>
        <v>0</v>
      </c>
      <c r="AL52" s="39">
        <f t="shared" si="61"/>
        <v>0</v>
      </c>
      <c r="AM52" s="39">
        <f t="shared" si="39"/>
        <v>112.31093301915001</v>
      </c>
      <c r="AN52" s="39">
        <f t="shared" si="36"/>
        <v>89.190246420000008</v>
      </c>
      <c r="AO52" s="39"/>
      <c r="AP52" s="31"/>
      <c r="AQ52" s="31"/>
    </row>
    <row r="53" spans="1:43" ht="46.5" customHeight="1" x14ac:dyDescent="0.25">
      <c r="A53" s="42" t="s">
        <v>48</v>
      </c>
      <c r="B53" s="43" t="s">
        <v>49</v>
      </c>
      <c r="C53" s="44" t="s">
        <v>104</v>
      </c>
      <c r="D53" s="45" t="s">
        <v>102</v>
      </c>
      <c r="E53" s="39" t="s">
        <v>102</v>
      </c>
      <c r="F53" s="39" t="s">
        <v>102</v>
      </c>
      <c r="G53" s="39" t="s">
        <v>102</v>
      </c>
      <c r="H53" s="39">
        <v>0</v>
      </c>
      <c r="I53" s="39">
        <f>SUM(I54)</f>
        <v>0</v>
      </c>
      <c r="J53" s="39">
        <f t="shared" ref="J53:AL53" si="66">SUM(J54)</f>
        <v>0</v>
      </c>
      <c r="K53" s="33">
        <v>114.51570062980001</v>
      </c>
      <c r="L53" s="39">
        <f>L54</f>
        <v>6.1096630000000012</v>
      </c>
      <c r="M53" s="39">
        <f>M54</f>
        <v>108.68794596313299</v>
      </c>
      <c r="N53" s="39">
        <v>0</v>
      </c>
      <c r="O53" s="39">
        <v>0</v>
      </c>
      <c r="P53" s="40">
        <f>SUM(P54)</f>
        <v>93.272589560000014</v>
      </c>
      <c r="Q53" s="40">
        <f t="shared" si="66"/>
        <v>6.1096630000000012</v>
      </c>
      <c r="R53" s="40">
        <f t="shared" si="66"/>
        <v>87.162926560000017</v>
      </c>
      <c r="S53" s="40">
        <f t="shared" si="66"/>
        <v>0</v>
      </c>
      <c r="T53" s="40">
        <f t="shared" si="66"/>
        <v>0</v>
      </c>
      <c r="U53" s="41">
        <v>0</v>
      </c>
      <c r="V53" s="41">
        <v>0</v>
      </c>
      <c r="W53" s="39">
        <v>0</v>
      </c>
      <c r="X53" s="39">
        <v>0</v>
      </c>
      <c r="Y53" s="39">
        <f t="shared" si="66"/>
        <v>0</v>
      </c>
      <c r="Z53" s="39">
        <v>0</v>
      </c>
      <c r="AA53" s="39">
        <f t="shared" si="66"/>
        <v>5.65</v>
      </c>
      <c r="AB53" s="39">
        <f t="shared" si="66"/>
        <v>6.1096630000000012</v>
      </c>
      <c r="AC53" s="39">
        <f t="shared" si="66"/>
        <v>60.300000000000004</v>
      </c>
      <c r="AD53" s="39">
        <f t="shared" si="66"/>
        <v>47.885557310000003</v>
      </c>
      <c r="AE53" s="39">
        <f t="shared" si="66"/>
        <v>48.565700629799998</v>
      </c>
      <c r="AF53" s="39">
        <f t="shared" si="66"/>
        <v>39.277369250000007</v>
      </c>
      <c r="AG53" s="39">
        <f t="shared" si="66"/>
        <v>0</v>
      </c>
      <c r="AH53" s="39">
        <f t="shared" si="66"/>
        <v>0</v>
      </c>
      <c r="AI53" s="39">
        <f t="shared" si="66"/>
        <v>0</v>
      </c>
      <c r="AJ53" s="39">
        <f t="shared" si="66"/>
        <v>0</v>
      </c>
      <c r="AK53" s="39">
        <f t="shared" si="66"/>
        <v>0</v>
      </c>
      <c r="AL53" s="39">
        <f t="shared" si="66"/>
        <v>0</v>
      </c>
      <c r="AM53" s="39">
        <f t="shared" si="39"/>
        <v>108.8657006298</v>
      </c>
      <c r="AN53" s="39">
        <f t="shared" si="36"/>
        <v>87.162926560000017</v>
      </c>
      <c r="AO53" s="39"/>
      <c r="AP53" s="31"/>
      <c r="AQ53" s="31"/>
    </row>
    <row r="54" spans="1:43" ht="36.75" customHeight="1" x14ac:dyDescent="0.25">
      <c r="A54" s="46" t="s">
        <v>125</v>
      </c>
      <c r="B54" s="47" t="s">
        <v>255</v>
      </c>
      <c r="C54" s="48" t="s">
        <v>175</v>
      </c>
      <c r="D54" s="45" t="s">
        <v>258</v>
      </c>
      <c r="E54" s="45">
        <v>2019</v>
      </c>
      <c r="F54" s="45">
        <v>2021</v>
      </c>
      <c r="G54" s="45">
        <v>2021</v>
      </c>
      <c r="H54" s="39" t="s">
        <v>102</v>
      </c>
      <c r="I54" s="39" t="s">
        <v>102</v>
      </c>
      <c r="J54" s="39">
        <v>0</v>
      </c>
      <c r="K54" s="33">
        <v>114.51560896313332</v>
      </c>
      <c r="L54" s="39">
        <v>6.1096630000000012</v>
      </c>
      <c r="M54" s="39">
        <v>108.68794596313299</v>
      </c>
      <c r="N54" s="39">
        <v>0</v>
      </c>
      <c r="O54" s="39">
        <v>0</v>
      </c>
      <c r="P54" s="40">
        <f t="shared" ref="P54" si="67">SUM(Q54:T54)</f>
        <v>93.272589560000014</v>
      </c>
      <c r="Q54" s="40">
        <f>AB54</f>
        <v>6.1096630000000012</v>
      </c>
      <c r="R54" s="40">
        <f>AD54+AF54</f>
        <v>87.162926560000017</v>
      </c>
      <c r="S54" s="40">
        <f>N54</f>
        <v>0</v>
      </c>
      <c r="T54" s="40">
        <f>O54</f>
        <v>0</v>
      </c>
      <c r="U54" s="41">
        <v>0</v>
      </c>
      <c r="V54" s="41">
        <v>0</v>
      </c>
      <c r="W54" s="39" t="s">
        <v>102</v>
      </c>
      <c r="X54" s="39">
        <v>0</v>
      </c>
      <c r="Y54" s="39">
        <v>0</v>
      </c>
      <c r="Z54" s="39">
        <v>0</v>
      </c>
      <c r="AA54" s="39">
        <v>5.65</v>
      </c>
      <c r="AB54" s="39">
        <v>6.1096630000000012</v>
      </c>
      <c r="AC54" s="39">
        <v>60.300000000000004</v>
      </c>
      <c r="AD54" s="39">
        <v>47.885557310000003</v>
      </c>
      <c r="AE54" s="39">
        <f>48565.7006298/1000</f>
        <v>48.565700629799998</v>
      </c>
      <c r="AF54" s="39">
        <v>39.277369250000007</v>
      </c>
      <c r="AG54" s="39">
        <v>0</v>
      </c>
      <c r="AH54" s="39">
        <v>0</v>
      </c>
      <c r="AI54" s="39">
        <v>0</v>
      </c>
      <c r="AJ54" s="39">
        <v>0</v>
      </c>
      <c r="AK54" s="39">
        <v>0</v>
      </c>
      <c r="AL54" s="39">
        <v>0</v>
      </c>
      <c r="AM54" s="39">
        <f t="shared" si="39"/>
        <v>108.8657006298</v>
      </c>
      <c r="AN54" s="39">
        <f t="shared" si="36"/>
        <v>87.162926560000017</v>
      </c>
      <c r="AO54" s="49" t="s">
        <v>384</v>
      </c>
      <c r="AP54" s="31"/>
      <c r="AQ54" s="31"/>
    </row>
    <row r="55" spans="1:43" ht="50.25" customHeight="1" x14ac:dyDescent="0.25">
      <c r="A55" s="42" t="s">
        <v>50</v>
      </c>
      <c r="B55" s="43" t="s">
        <v>51</v>
      </c>
      <c r="C55" s="44" t="s">
        <v>102</v>
      </c>
      <c r="D55" s="45" t="s">
        <v>102</v>
      </c>
      <c r="E55" s="39" t="s">
        <v>102</v>
      </c>
      <c r="F55" s="39" t="s">
        <v>102</v>
      </c>
      <c r="G55" s="39" t="s">
        <v>102</v>
      </c>
      <c r="H55" s="39">
        <v>0.63436494959999989</v>
      </c>
      <c r="I55" s="39">
        <f t="shared" ref="I55:AL55" si="68">SUM(I56)</f>
        <v>0.63436494959999989</v>
      </c>
      <c r="J55" s="39">
        <f t="shared" si="68"/>
        <v>0</v>
      </c>
      <c r="K55" s="33">
        <v>3.4452323893500001</v>
      </c>
      <c r="L55" s="39">
        <f>L56</f>
        <v>0.08</v>
      </c>
      <c r="M55" s="39">
        <f>M56</f>
        <v>0.83548027999999996</v>
      </c>
      <c r="N55" s="39">
        <f>N56</f>
        <v>2.5297521093499999</v>
      </c>
      <c r="O55" s="39">
        <v>0</v>
      </c>
      <c r="P55" s="40">
        <f>SUM(P56)</f>
        <v>2.0273197600000001</v>
      </c>
      <c r="Q55" s="40">
        <f t="shared" si="68"/>
        <v>0.08</v>
      </c>
      <c r="R55" s="40">
        <f t="shared" si="68"/>
        <v>0.83548027999999996</v>
      </c>
      <c r="S55" s="40">
        <f t="shared" si="68"/>
        <v>1.11183948</v>
      </c>
      <c r="T55" s="40">
        <f t="shared" si="68"/>
        <v>0</v>
      </c>
      <c r="U55" s="41">
        <v>0</v>
      </c>
      <c r="V55" s="41">
        <v>0</v>
      </c>
      <c r="W55" s="39">
        <v>0</v>
      </c>
      <c r="X55" s="39">
        <v>0</v>
      </c>
      <c r="Y55" s="39">
        <f t="shared" si="68"/>
        <v>0</v>
      </c>
      <c r="Z55" s="39">
        <v>0</v>
      </c>
      <c r="AA55" s="39">
        <f t="shared" si="68"/>
        <v>0</v>
      </c>
      <c r="AB55" s="39">
        <f t="shared" si="68"/>
        <v>0</v>
      </c>
      <c r="AC55" s="39">
        <f t="shared" si="68"/>
        <v>3.4452323893500001</v>
      </c>
      <c r="AD55" s="39">
        <f t="shared" si="68"/>
        <v>2.02731986</v>
      </c>
      <c r="AE55" s="39">
        <f t="shared" si="68"/>
        <v>0</v>
      </c>
      <c r="AF55" s="39">
        <f t="shared" si="68"/>
        <v>0</v>
      </c>
      <c r="AG55" s="39">
        <f t="shared" si="68"/>
        <v>0</v>
      </c>
      <c r="AH55" s="39">
        <f t="shared" si="68"/>
        <v>0</v>
      </c>
      <c r="AI55" s="39">
        <f t="shared" si="68"/>
        <v>0</v>
      </c>
      <c r="AJ55" s="39">
        <f t="shared" si="68"/>
        <v>0</v>
      </c>
      <c r="AK55" s="39">
        <f t="shared" si="68"/>
        <v>0</v>
      </c>
      <c r="AL55" s="39">
        <f t="shared" si="68"/>
        <v>0</v>
      </c>
      <c r="AM55" s="39">
        <f t="shared" si="39"/>
        <v>3.4452323893500001</v>
      </c>
      <c r="AN55" s="39">
        <f t="shared" si="36"/>
        <v>2.02731986</v>
      </c>
      <c r="AO55" s="39"/>
      <c r="AP55" s="31"/>
      <c r="AQ55" s="31"/>
    </row>
    <row r="56" spans="1:43" ht="37.5" customHeight="1" x14ac:dyDescent="0.25">
      <c r="A56" s="52" t="s">
        <v>227</v>
      </c>
      <c r="B56" s="53" t="s">
        <v>262</v>
      </c>
      <c r="C56" s="52" t="s">
        <v>228</v>
      </c>
      <c r="D56" s="45" t="s">
        <v>259</v>
      </c>
      <c r="E56" s="45">
        <v>2020</v>
      </c>
      <c r="F56" s="45">
        <v>2020</v>
      </c>
      <c r="G56" s="45">
        <v>2020</v>
      </c>
      <c r="H56" s="39">
        <v>0.63436494959999989</v>
      </c>
      <c r="I56" s="40">
        <v>0.63436494959999989</v>
      </c>
      <c r="J56" s="39">
        <v>0</v>
      </c>
      <c r="K56" s="33">
        <v>3.4452323893500001</v>
      </c>
      <c r="L56" s="39">
        <v>0.08</v>
      </c>
      <c r="M56" s="39">
        <v>0.83548027999999996</v>
      </c>
      <c r="N56" s="39">
        <v>2.5297521093499999</v>
      </c>
      <c r="O56" s="39">
        <v>0</v>
      </c>
      <c r="P56" s="40">
        <f t="shared" ref="P56" si="69">SUM(Q56:T56)</f>
        <v>2.0273197600000001</v>
      </c>
      <c r="Q56" s="40">
        <v>0.08</v>
      </c>
      <c r="R56" s="40">
        <v>0.83548027999999996</v>
      </c>
      <c r="S56" s="40">
        <v>1.11183948</v>
      </c>
      <c r="T56" s="40">
        <v>0</v>
      </c>
      <c r="U56" s="41">
        <v>0</v>
      </c>
      <c r="V56" s="41">
        <v>0</v>
      </c>
      <c r="W56" s="39" t="s">
        <v>102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3.4452323893500001</v>
      </c>
      <c r="AD56" s="39">
        <v>2.02731986</v>
      </c>
      <c r="AE56" s="39">
        <v>0</v>
      </c>
      <c r="AF56" s="39">
        <v>0</v>
      </c>
      <c r="AG56" s="39">
        <v>0</v>
      </c>
      <c r="AH56" s="39">
        <f>AG56</f>
        <v>0</v>
      </c>
      <c r="AI56" s="39">
        <v>0</v>
      </c>
      <c r="AJ56" s="39">
        <v>0</v>
      </c>
      <c r="AK56" s="39">
        <v>0</v>
      </c>
      <c r="AL56" s="39">
        <v>0</v>
      </c>
      <c r="AM56" s="39">
        <f t="shared" si="39"/>
        <v>3.4452323893500001</v>
      </c>
      <c r="AN56" s="39">
        <f t="shared" si="36"/>
        <v>2.02731986</v>
      </c>
      <c r="AO56" s="49" t="s">
        <v>384</v>
      </c>
      <c r="AP56" s="31"/>
      <c r="AQ56" s="31"/>
    </row>
    <row r="57" spans="1:43" x14ac:dyDescent="0.25">
      <c r="A57" s="42" t="s">
        <v>52</v>
      </c>
      <c r="B57" s="43" t="s">
        <v>53</v>
      </c>
      <c r="C57" s="44" t="s">
        <v>104</v>
      </c>
      <c r="D57" s="45" t="s">
        <v>102</v>
      </c>
      <c r="E57" s="39" t="s">
        <v>102</v>
      </c>
      <c r="F57" s="39" t="s">
        <v>102</v>
      </c>
      <c r="G57" s="39" t="s">
        <v>102</v>
      </c>
      <c r="H57" s="40">
        <f>H58+H88+H106+H115</f>
        <v>80.419103518699671</v>
      </c>
      <c r="I57" s="40">
        <f>I58+I88+I106+I115</f>
        <v>74.224322179427588</v>
      </c>
      <c r="J57" s="40">
        <f>J58+J88+J106+J115</f>
        <v>0</v>
      </c>
      <c r="K57" s="33">
        <v>487.98827927902192</v>
      </c>
      <c r="L57" s="40">
        <f>L58+L88+L106+L115</f>
        <v>12.105360017011101</v>
      </c>
      <c r="M57" s="40">
        <f t="shared" ref="M57:O57" si="70">M58+M88+M106+M115</f>
        <v>151.02959606982117</v>
      </c>
      <c r="N57" s="40">
        <f t="shared" si="70"/>
        <v>325.13683631464176</v>
      </c>
      <c r="O57" s="40">
        <f t="shared" si="70"/>
        <v>0</v>
      </c>
      <c r="P57" s="40">
        <f>P58+P88+P106+P115</f>
        <v>482.56387811604503</v>
      </c>
      <c r="Q57" s="40">
        <f>Q58+Q88+Q106+Q115</f>
        <v>14.959967679999998</v>
      </c>
      <c r="R57" s="40">
        <f>R58+R88+R106+R115</f>
        <v>152.61205569438934</v>
      </c>
      <c r="S57" s="40">
        <f>S58+S88+S106+S115</f>
        <v>314.99185474165569</v>
      </c>
      <c r="T57" s="40">
        <f>T58+T88+T106+T115</f>
        <v>0</v>
      </c>
      <c r="U57" s="41">
        <v>0</v>
      </c>
      <c r="V57" s="41">
        <v>0</v>
      </c>
      <c r="W57" s="40">
        <v>59.419270991062362</v>
      </c>
      <c r="X57" s="39">
        <f>226.743441908416/1.2</f>
        <v>188.95286825701334</v>
      </c>
      <c r="Y57" s="39">
        <f>Y58+Y88+Y106+Y115</f>
        <v>46.393687980567755</v>
      </c>
      <c r="Z57" s="39">
        <f>226.791483918363/1.2</f>
        <v>188.99290326530252</v>
      </c>
      <c r="AA57" s="39">
        <f t="shared" ref="AA57:AL57" si="71">AA58+AA88+AA106+AA115</f>
        <v>4.5886139999999997</v>
      </c>
      <c r="AB57" s="39">
        <f t="shared" si="71"/>
        <v>2.4370515100000003</v>
      </c>
      <c r="AC57" s="39">
        <f t="shared" si="71"/>
        <v>99.730875276456032</v>
      </c>
      <c r="AD57" s="39">
        <f t="shared" si="71"/>
        <v>101.75333169999999</v>
      </c>
      <c r="AE57" s="39">
        <f t="shared" si="71"/>
        <v>70.520884200202161</v>
      </c>
      <c r="AF57" s="39">
        <f t="shared" si="71"/>
        <v>66.621636780000003</v>
      </c>
      <c r="AG57" s="39">
        <f t="shared" si="71"/>
        <v>124.47732154535001</v>
      </c>
      <c r="AH57" s="39">
        <f t="shared" si="71"/>
        <v>122.57872426</v>
      </c>
      <c r="AI57" s="39">
        <f t="shared" si="71"/>
        <v>86.03753909171138</v>
      </c>
      <c r="AJ57" s="39">
        <f t="shared" si="71"/>
        <v>86.077615649999998</v>
      </c>
      <c r="AK57" s="39">
        <f t="shared" si="71"/>
        <v>102.91532916530241</v>
      </c>
      <c r="AL57" s="39">
        <f t="shared" si="71"/>
        <v>102.91532916530241</v>
      </c>
      <c r="AM57" s="39">
        <f t="shared" si="39"/>
        <v>483.68194927902204</v>
      </c>
      <c r="AN57" s="39">
        <f>AD57+AF57+AH57+AJ57+AL57</f>
        <v>479.9466375553024</v>
      </c>
      <c r="AO57" s="54"/>
      <c r="AP57" s="31"/>
      <c r="AQ57" s="31"/>
    </row>
    <row r="58" spans="1:43" ht="49.5" customHeight="1" x14ac:dyDescent="0.25">
      <c r="A58" s="42" t="s">
        <v>54</v>
      </c>
      <c r="B58" s="43" t="s">
        <v>55</v>
      </c>
      <c r="C58" s="44" t="s">
        <v>104</v>
      </c>
      <c r="D58" s="45" t="s">
        <v>102</v>
      </c>
      <c r="E58" s="39" t="s">
        <v>102</v>
      </c>
      <c r="F58" s="39" t="s">
        <v>102</v>
      </c>
      <c r="G58" s="39" t="s">
        <v>102</v>
      </c>
      <c r="H58" s="40">
        <f t="shared" ref="H58:J58" si="72">H59+H82</f>
        <v>73.531520517614638</v>
      </c>
      <c r="I58" s="40">
        <f t="shared" si="72"/>
        <v>65.872084627919463</v>
      </c>
      <c r="J58" s="40">
        <f t="shared" si="72"/>
        <v>0</v>
      </c>
      <c r="K58" s="33">
        <v>429.93810403009377</v>
      </c>
      <c r="L58" s="40">
        <f>L59+L82</f>
        <v>9.9917324060361992</v>
      </c>
      <c r="M58" s="40">
        <f t="shared" ref="M58:O58" si="73">M59+M82</f>
        <v>132.92611320541477</v>
      </c>
      <c r="N58" s="40">
        <f t="shared" si="73"/>
        <v>287.30235504203785</v>
      </c>
      <c r="O58" s="40">
        <f t="shared" si="73"/>
        <v>0</v>
      </c>
      <c r="P58" s="40">
        <f>P59+P82</f>
        <v>403.15097255604502</v>
      </c>
      <c r="Q58" s="40">
        <f>Q59+Q82</f>
        <v>11.60399468</v>
      </c>
      <c r="R58" s="40">
        <f>R59+R82</f>
        <v>126.07856004357934</v>
      </c>
      <c r="S58" s="40">
        <f>S59+S82</f>
        <v>265.46841783246566</v>
      </c>
      <c r="T58" s="40">
        <f>T59+T82</f>
        <v>0</v>
      </c>
      <c r="U58" s="41">
        <v>0</v>
      </c>
      <c r="V58" s="41">
        <v>0</v>
      </c>
      <c r="W58" s="40">
        <v>57.189019021718984</v>
      </c>
      <c r="X58" s="39">
        <f>214.833903191074/1.2</f>
        <v>179.02825265922834</v>
      </c>
      <c r="Y58" s="39">
        <f>Y59+Y82</f>
        <v>39.017252236193421</v>
      </c>
      <c r="Z58" s="39">
        <f>199.765330902363/1.2</f>
        <v>166.47110908530249</v>
      </c>
      <c r="AA58" s="39">
        <f t="shared" ref="AA58:AL58" si="74">AA59+AA82</f>
        <v>4.5886139999999997</v>
      </c>
      <c r="AB58" s="39">
        <f t="shared" si="74"/>
        <v>2.4370515100000003</v>
      </c>
      <c r="AC58" s="39">
        <f t="shared" si="74"/>
        <v>80.475371775513096</v>
      </c>
      <c r="AD58" s="39">
        <f t="shared" si="74"/>
        <v>80.989986639999998</v>
      </c>
      <c r="AE58" s="39">
        <f t="shared" si="74"/>
        <v>60.809804200202166</v>
      </c>
      <c r="AF58" s="39">
        <f t="shared" si="74"/>
        <v>57.06067977</v>
      </c>
      <c r="AG58" s="39">
        <f t="shared" si="74"/>
        <v>105.31834539515</v>
      </c>
      <c r="AH58" s="39">
        <f t="shared" si="74"/>
        <v>103.22081388000001</v>
      </c>
      <c r="AI58" s="39">
        <f t="shared" si="74"/>
        <v>76.112923493926147</v>
      </c>
      <c r="AJ58" s="39">
        <f t="shared" si="74"/>
        <v>56.347383989999997</v>
      </c>
      <c r="AK58" s="39">
        <f t="shared" si="74"/>
        <v>102.91532916530241</v>
      </c>
      <c r="AL58" s="39">
        <f t="shared" si="74"/>
        <v>102.91532916530241</v>
      </c>
      <c r="AM58" s="39">
        <f t="shared" si="39"/>
        <v>425.63177403009382</v>
      </c>
      <c r="AN58" s="39">
        <f>AD58+AF58+AH58+AJ58+AL58</f>
        <v>400.53419344530244</v>
      </c>
      <c r="AO58" s="54"/>
      <c r="AP58" s="31"/>
      <c r="AQ58" s="31"/>
    </row>
    <row r="59" spans="1:43" ht="30" customHeight="1" x14ac:dyDescent="0.25">
      <c r="A59" s="42" t="s">
        <v>56</v>
      </c>
      <c r="B59" s="43" t="s">
        <v>57</v>
      </c>
      <c r="C59" s="44" t="s">
        <v>104</v>
      </c>
      <c r="D59" s="45" t="s">
        <v>102</v>
      </c>
      <c r="E59" s="39" t="s">
        <v>102</v>
      </c>
      <c r="F59" s="39" t="s">
        <v>102</v>
      </c>
      <c r="G59" s="39" t="s">
        <v>102</v>
      </c>
      <c r="H59" s="40">
        <f>SUM(H60:H81)</f>
        <v>72.836279110744499</v>
      </c>
      <c r="I59" s="40">
        <f>SUM(I60:I81)</f>
        <v>62.527553389509855</v>
      </c>
      <c r="J59" s="40">
        <f>SUM(J60:J74)</f>
        <v>0</v>
      </c>
      <c r="K59" s="33">
        <v>417.2569187160268</v>
      </c>
      <c r="L59" s="40">
        <f>SUM(L60:L81)</f>
        <v>8.6088475560361992</v>
      </c>
      <c r="M59" s="40">
        <f t="shared" ref="M59:O59" si="75">SUM(M60:M81)</f>
        <v>125.92445338791475</v>
      </c>
      <c r="N59" s="40">
        <f t="shared" si="75"/>
        <v>282.72383039547083</v>
      </c>
      <c r="O59" s="40">
        <f t="shared" si="75"/>
        <v>0</v>
      </c>
      <c r="P59" s="40">
        <f>SUM(P60:P81)</f>
        <v>374.96424134604501</v>
      </c>
      <c r="Q59" s="40">
        <f t="shared" ref="Q59:S59" si="76">SUM(Q60:Q81)</f>
        <v>10.321988659999999</v>
      </c>
      <c r="R59" s="40">
        <f t="shared" si="76"/>
        <v>116.01651508093934</v>
      </c>
      <c r="S59" s="40">
        <f t="shared" si="76"/>
        <v>248.62573760510568</v>
      </c>
      <c r="T59" s="40">
        <f>SUM(T60:T74)</f>
        <v>0</v>
      </c>
      <c r="U59" s="41">
        <v>0</v>
      </c>
      <c r="V59" s="41">
        <v>0</v>
      </c>
      <c r="W59" s="40">
        <v>55.085019021718985</v>
      </c>
      <c r="X59" s="39">
        <f>214.833903191074/1.2</f>
        <v>179.02825265922834</v>
      </c>
      <c r="Y59" s="39">
        <f>SUM(Y60:Y74)</f>
        <v>39.017252236193421</v>
      </c>
      <c r="Z59" s="39">
        <f>174.816443190363/1.2</f>
        <v>145.68036932530251</v>
      </c>
      <c r="AA59" s="39">
        <f>SUM(AA60:AA74)</f>
        <v>4.30633</v>
      </c>
      <c r="AB59" s="39">
        <f>SUM(AB60:AB74)</f>
        <v>2.1541666600000005</v>
      </c>
      <c r="AC59" s="39">
        <f>SUM(AC60:AC74)</f>
        <v>71.430195878946094</v>
      </c>
      <c r="AD59" s="39">
        <f>SUM(AD60:AD74)</f>
        <v>77.05800121</v>
      </c>
      <c r="AE59" s="39">
        <f>SUM(AE60:AE73)</f>
        <v>57.173794782702167</v>
      </c>
      <c r="AF59" s="39">
        <f>SUM(AF60:AF73)</f>
        <v>53.879185939999999</v>
      </c>
      <c r="AG59" s="39">
        <f>SUM(AG60:AG74)</f>
        <v>105.31834539515</v>
      </c>
      <c r="AH59" s="39">
        <f>SUM(AH60:AH74)</f>
        <v>103.22081388000001</v>
      </c>
      <c r="AI59" s="39">
        <f>SUM(AI60:AI81)</f>
        <v>76.112923493926147</v>
      </c>
      <c r="AJ59" s="39">
        <f>SUM(AJ60:AJ81)</f>
        <v>35.556644229999996</v>
      </c>
      <c r="AK59" s="39">
        <f>SUM(AK60:AK74)</f>
        <v>102.91532916530241</v>
      </c>
      <c r="AL59" s="39">
        <f>SUM(AL60:AL74)</f>
        <v>102.91532916530241</v>
      </c>
      <c r="AM59" s="39">
        <f t="shared" si="39"/>
        <v>412.9505887160268</v>
      </c>
      <c r="AN59" s="39">
        <f t="shared" si="36"/>
        <v>372.62997442530241</v>
      </c>
      <c r="AO59" s="54"/>
      <c r="AP59" s="31"/>
      <c r="AQ59" s="31"/>
    </row>
    <row r="60" spans="1:43" ht="31.5" x14ac:dyDescent="0.25">
      <c r="A60" s="46" t="s">
        <v>105</v>
      </c>
      <c r="B60" s="47" t="s">
        <v>211</v>
      </c>
      <c r="C60" s="48" t="s">
        <v>217</v>
      </c>
      <c r="D60" s="45" t="s">
        <v>111</v>
      </c>
      <c r="E60" s="45">
        <v>2023</v>
      </c>
      <c r="F60" s="45">
        <v>2023</v>
      </c>
      <c r="G60" s="45">
        <v>2023</v>
      </c>
      <c r="H60" s="40">
        <v>2.9621272718200005</v>
      </c>
      <c r="I60" s="40">
        <v>0</v>
      </c>
      <c r="J60" s="39">
        <v>0</v>
      </c>
      <c r="K60" s="33">
        <v>17.861441483847749</v>
      </c>
      <c r="L60" s="39">
        <v>0</v>
      </c>
      <c r="M60" s="39">
        <v>3.07</v>
      </c>
      <c r="N60" s="39">
        <v>14.791</v>
      </c>
      <c r="O60" s="39">
        <v>0</v>
      </c>
      <c r="P60" s="40">
        <f t="shared" ref="P60:P87" si="77">SUM(Q60:T60)</f>
        <v>3.07</v>
      </c>
      <c r="Q60" s="40">
        <f>L60</f>
        <v>0</v>
      </c>
      <c r="R60" s="40">
        <f>M60</f>
        <v>3.07</v>
      </c>
      <c r="S60" s="40">
        <v>0</v>
      </c>
      <c r="T60" s="40">
        <f t="shared" ref="R60:T64" si="78">O60</f>
        <v>0</v>
      </c>
      <c r="U60" s="41">
        <v>0</v>
      </c>
      <c r="V60" s="41">
        <v>0</v>
      </c>
      <c r="W60" s="39">
        <v>2.9621272718200005</v>
      </c>
      <c r="X60" s="39">
        <f>21.4337297806173/1.2</f>
        <v>17.861441483847749</v>
      </c>
      <c r="Y60" s="39">
        <v>0</v>
      </c>
      <c r="Z60" s="39">
        <v>0</v>
      </c>
      <c r="AA60" s="39">
        <v>0</v>
      </c>
      <c r="AB60" s="39">
        <f t="shared" ref="AB60:AB64" si="79">AA60</f>
        <v>0</v>
      </c>
      <c r="AC60" s="39">
        <v>0</v>
      </c>
      <c r="AD60" s="39">
        <f t="shared" si="59"/>
        <v>0</v>
      </c>
      <c r="AE60" s="39">
        <f t="shared" si="60"/>
        <v>0</v>
      </c>
      <c r="AF60" s="39">
        <f t="shared" si="60"/>
        <v>0</v>
      </c>
      <c r="AG60" s="39">
        <v>0</v>
      </c>
      <c r="AH60" s="39">
        <f>AG60</f>
        <v>0</v>
      </c>
      <c r="AI60" s="39">
        <v>17.861441483847809</v>
      </c>
      <c r="AJ60" s="39">
        <v>0</v>
      </c>
      <c r="AK60" s="39">
        <v>0</v>
      </c>
      <c r="AL60" s="39">
        <v>0</v>
      </c>
      <c r="AM60" s="39">
        <f t="shared" si="39"/>
        <v>17.861441483847809</v>
      </c>
      <c r="AN60" s="39">
        <f t="shared" ref="AN60:AN94" si="80">AD60+AF60+AH60+AJ60+AL60</f>
        <v>0</v>
      </c>
      <c r="AO60" s="55" t="s">
        <v>373</v>
      </c>
      <c r="AP60" s="31"/>
      <c r="AQ60" s="31"/>
    </row>
    <row r="61" spans="1:43" ht="36.75" customHeight="1" x14ac:dyDescent="0.25">
      <c r="A61" s="46" t="s">
        <v>106</v>
      </c>
      <c r="B61" s="47" t="s">
        <v>212</v>
      </c>
      <c r="C61" s="48" t="s">
        <v>218</v>
      </c>
      <c r="D61" s="45" t="s">
        <v>111</v>
      </c>
      <c r="E61" s="45">
        <v>2024</v>
      </c>
      <c r="F61" s="45">
        <v>2024</v>
      </c>
      <c r="G61" s="45">
        <v>2024</v>
      </c>
      <c r="H61" s="40">
        <v>4.0684599541250002</v>
      </c>
      <c r="I61" s="40">
        <v>4.0684599541250002</v>
      </c>
      <c r="J61" s="39">
        <v>0</v>
      </c>
      <c r="K61" s="33">
        <v>15.231063079257419</v>
      </c>
      <c r="L61" s="39">
        <v>0</v>
      </c>
      <c r="M61" s="39">
        <v>2.89</v>
      </c>
      <c r="N61" s="39">
        <v>12.340999999999999</v>
      </c>
      <c r="O61" s="39">
        <v>0</v>
      </c>
      <c r="P61" s="40">
        <f t="shared" si="77"/>
        <v>12.340999999999999</v>
      </c>
      <c r="Q61" s="40">
        <f t="shared" ref="Q61:Q64" si="81">L61</f>
        <v>0</v>
      </c>
      <c r="R61" s="40">
        <v>0</v>
      </c>
      <c r="S61" s="40">
        <f t="shared" si="78"/>
        <v>12.340999999999999</v>
      </c>
      <c r="T61" s="40">
        <f t="shared" si="78"/>
        <v>0</v>
      </c>
      <c r="U61" s="41">
        <v>0</v>
      </c>
      <c r="V61" s="41">
        <v>0</v>
      </c>
      <c r="W61" s="39">
        <v>4.0684599541250002</v>
      </c>
      <c r="X61" s="39">
        <f>18.2772756951089/1.2</f>
        <v>15.231063079257419</v>
      </c>
      <c r="Y61" s="39">
        <f t="shared" ref="Y61:Y64" si="82">W61</f>
        <v>4.0684599541250002</v>
      </c>
      <c r="Z61" s="39">
        <f>18.2772756951089/1.2</f>
        <v>15.231063079257419</v>
      </c>
      <c r="AA61" s="39">
        <v>0</v>
      </c>
      <c r="AB61" s="39">
        <f t="shared" si="79"/>
        <v>0</v>
      </c>
      <c r="AC61" s="39">
        <v>0</v>
      </c>
      <c r="AD61" s="39">
        <f t="shared" si="59"/>
        <v>0</v>
      </c>
      <c r="AE61" s="39">
        <f t="shared" si="60"/>
        <v>0</v>
      </c>
      <c r="AF61" s="39">
        <f t="shared" si="60"/>
        <v>0</v>
      </c>
      <c r="AG61" s="39">
        <v>0</v>
      </c>
      <c r="AH61" s="39">
        <f t="shared" ref="AH61:AH73" si="83">AG61</f>
        <v>0</v>
      </c>
      <c r="AI61" s="39">
        <v>0</v>
      </c>
      <c r="AJ61" s="39">
        <v>0</v>
      </c>
      <c r="AK61" s="39">
        <v>15.2310630792574</v>
      </c>
      <c r="AL61" s="39">
        <v>15.2310630792574</v>
      </c>
      <c r="AM61" s="39">
        <f t="shared" ref="AM61:AM110" si="84">AC61+AE61+AG61+AI61+AK61</f>
        <v>15.2310630792574</v>
      </c>
      <c r="AN61" s="39">
        <f t="shared" si="80"/>
        <v>15.2310630792574</v>
      </c>
      <c r="AO61" s="55"/>
      <c r="AP61" s="31"/>
      <c r="AQ61" s="31"/>
    </row>
    <row r="62" spans="1:43" ht="53.25" customHeight="1" x14ac:dyDescent="0.25">
      <c r="A62" s="46" t="s">
        <v>107</v>
      </c>
      <c r="B62" s="47" t="s">
        <v>140</v>
      </c>
      <c r="C62" s="48" t="s">
        <v>191</v>
      </c>
      <c r="D62" s="45" t="s">
        <v>111</v>
      </c>
      <c r="E62" s="45">
        <v>2023</v>
      </c>
      <c r="F62" s="45">
        <v>2023</v>
      </c>
      <c r="G62" s="45">
        <v>2023</v>
      </c>
      <c r="H62" s="40">
        <v>4.0684599541250002</v>
      </c>
      <c r="I62" s="40">
        <v>0</v>
      </c>
      <c r="J62" s="39">
        <v>0</v>
      </c>
      <c r="K62" s="33">
        <v>15.901229854744669</v>
      </c>
      <c r="L62" s="39">
        <v>0</v>
      </c>
      <c r="M62" s="39">
        <v>3.0172022031283099</v>
      </c>
      <c r="N62" s="39">
        <v>12.8840276516164</v>
      </c>
      <c r="O62" s="39">
        <v>0</v>
      </c>
      <c r="P62" s="40">
        <f t="shared" si="77"/>
        <v>0</v>
      </c>
      <c r="Q62" s="40">
        <f t="shared" si="81"/>
        <v>0</v>
      </c>
      <c r="R62" s="40">
        <v>0</v>
      </c>
      <c r="S62" s="40">
        <v>0</v>
      </c>
      <c r="T62" s="40">
        <f t="shared" si="78"/>
        <v>0</v>
      </c>
      <c r="U62" s="41">
        <v>0</v>
      </c>
      <c r="V62" s="41">
        <v>0</v>
      </c>
      <c r="W62" s="39">
        <v>4.0684599541250002</v>
      </c>
      <c r="X62" s="39">
        <f>19.0814758256936/1.2</f>
        <v>15.901229854744669</v>
      </c>
      <c r="Y62" s="39">
        <v>0</v>
      </c>
      <c r="Z62" s="39">
        <v>0</v>
      </c>
      <c r="AA62" s="39">
        <v>0</v>
      </c>
      <c r="AB62" s="39">
        <f t="shared" si="79"/>
        <v>0</v>
      </c>
      <c r="AC62" s="39">
        <v>0</v>
      </c>
      <c r="AD62" s="39">
        <f t="shared" si="59"/>
        <v>0</v>
      </c>
      <c r="AE62" s="39">
        <f t="shared" si="60"/>
        <v>0</v>
      </c>
      <c r="AF62" s="39">
        <f t="shared" si="60"/>
        <v>0</v>
      </c>
      <c r="AG62" s="39">
        <v>0</v>
      </c>
      <c r="AH62" s="39">
        <f t="shared" si="83"/>
        <v>0</v>
      </c>
      <c r="AI62" s="39">
        <f>K62</f>
        <v>15.901229854744669</v>
      </c>
      <c r="AJ62" s="39">
        <v>0</v>
      </c>
      <c r="AK62" s="39">
        <v>0</v>
      </c>
      <c r="AL62" s="39">
        <v>0</v>
      </c>
      <c r="AM62" s="39">
        <f t="shared" si="84"/>
        <v>15.901229854744669</v>
      </c>
      <c r="AN62" s="39">
        <f t="shared" si="80"/>
        <v>0</v>
      </c>
      <c r="AO62" s="55" t="s">
        <v>373</v>
      </c>
      <c r="AP62" s="31"/>
      <c r="AQ62" s="31"/>
    </row>
    <row r="63" spans="1:43" ht="57" customHeight="1" x14ac:dyDescent="0.25">
      <c r="A63" s="46" t="s">
        <v>117</v>
      </c>
      <c r="B63" s="47" t="s">
        <v>141</v>
      </c>
      <c r="C63" s="48" t="s">
        <v>192</v>
      </c>
      <c r="D63" s="45" t="s">
        <v>111</v>
      </c>
      <c r="E63" s="45">
        <v>2023</v>
      </c>
      <c r="F63" s="45">
        <v>2023</v>
      </c>
      <c r="G63" s="45">
        <v>2023</v>
      </c>
      <c r="H63" s="40">
        <v>4.0684599541250002</v>
      </c>
      <c r="I63" s="40">
        <v>0</v>
      </c>
      <c r="J63" s="39">
        <v>0</v>
      </c>
      <c r="K63" s="33">
        <v>15.901229854744669</v>
      </c>
      <c r="L63" s="39">
        <v>0</v>
      </c>
      <c r="M63" s="39">
        <v>3.0172022031283099</v>
      </c>
      <c r="N63" s="39">
        <v>12.8840276516164</v>
      </c>
      <c r="O63" s="39">
        <v>0</v>
      </c>
      <c r="P63" s="40">
        <f t="shared" si="77"/>
        <v>0</v>
      </c>
      <c r="Q63" s="40">
        <f t="shared" si="81"/>
        <v>0</v>
      </c>
      <c r="R63" s="40">
        <v>0</v>
      </c>
      <c r="S63" s="40">
        <v>0</v>
      </c>
      <c r="T63" s="40">
        <f t="shared" si="78"/>
        <v>0</v>
      </c>
      <c r="U63" s="41">
        <v>0</v>
      </c>
      <c r="V63" s="41">
        <v>0</v>
      </c>
      <c r="W63" s="39">
        <v>4.0684599541250002</v>
      </c>
      <c r="X63" s="39">
        <f>19.0814758256936/1.2</f>
        <v>15.901229854744669</v>
      </c>
      <c r="Y63" s="39">
        <f t="shared" si="82"/>
        <v>4.0684599541250002</v>
      </c>
      <c r="Z63" s="39">
        <v>0</v>
      </c>
      <c r="AA63" s="39">
        <v>0</v>
      </c>
      <c r="AB63" s="39">
        <f t="shared" si="79"/>
        <v>0</v>
      </c>
      <c r="AC63" s="39">
        <v>0</v>
      </c>
      <c r="AD63" s="39">
        <f t="shared" si="59"/>
        <v>0</v>
      </c>
      <c r="AE63" s="39">
        <f t="shared" si="60"/>
        <v>0</v>
      </c>
      <c r="AF63" s="39">
        <f t="shared" si="60"/>
        <v>0</v>
      </c>
      <c r="AG63" s="39">
        <v>0</v>
      </c>
      <c r="AH63" s="39">
        <f t="shared" si="83"/>
        <v>0</v>
      </c>
      <c r="AI63" s="39">
        <f>K63</f>
        <v>15.901229854744669</v>
      </c>
      <c r="AJ63" s="39">
        <v>0</v>
      </c>
      <c r="AK63" s="39">
        <v>0</v>
      </c>
      <c r="AL63" s="39">
        <v>0</v>
      </c>
      <c r="AM63" s="39">
        <f t="shared" si="84"/>
        <v>15.901229854744669</v>
      </c>
      <c r="AN63" s="39">
        <f t="shared" si="80"/>
        <v>0</v>
      </c>
      <c r="AO63" s="55" t="s">
        <v>373</v>
      </c>
      <c r="AP63" s="31"/>
      <c r="AQ63" s="31"/>
    </row>
    <row r="64" spans="1:43" ht="48" customHeight="1" x14ac:dyDescent="0.25">
      <c r="A64" s="46" t="s">
        <v>118</v>
      </c>
      <c r="B64" s="47" t="s">
        <v>142</v>
      </c>
      <c r="C64" s="48" t="s">
        <v>193</v>
      </c>
      <c r="D64" s="45" t="s">
        <v>111</v>
      </c>
      <c r="E64" s="45">
        <v>2024</v>
      </c>
      <c r="F64" s="45">
        <v>2024</v>
      </c>
      <c r="G64" s="45">
        <v>2024</v>
      </c>
      <c r="H64" s="40">
        <v>4.5308180329674999</v>
      </c>
      <c r="I64" s="40">
        <v>4.5308180329674999</v>
      </c>
      <c r="J64" s="39">
        <v>0</v>
      </c>
      <c r="K64" s="33">
        <v>30.444057745634755</v>
      </c>
      <c r="L64" s="39">
        <v>0</v>
      </c>
      <c r="M64" s="39">
        <v>4.5419492714651604</v>
      </c>
      <c r="N64" s="39">
        <v>25.902108474169601</v>
      </c>
      <c r="O64" s="39">
        <v>0</v>
      </c>
      <c r="P64" s="40">
        <f t="shared" si="77"/>
        <v>30.444057745634762</v>
      </c>
      <c r="Q64" s="40">
        <f t="shared" si="81"/>
        <v>0</v>
      </c>
      <c r="R64" s="40">
        <f t="shared" si="78"/>
        <v>4.5419492714651604</v>
      </c>
      <c r="S64" s="40">
        <f t="shared" si="78"/>
        <v>25.902108474169601</v>
      </c>
      <c r="T64" s="40">
        <f t="shared" si="78"/>
        <v>0</v>
      </c>
      <c r="U64" s="41">
        <v>0</v>
      </c>
      <c r="V64" s="41">
        <v>0</v>
      </c>
      <c r="W64" s="39">
        <v>4.5308180329674999</v>
      </c>
      <c r="X64" s="39">
        <f>36.5328692947617/1.2</f>
        <v>30.444057745634755</v>
      </c>
      <c r="Y64" s="39">
        <f t="shared" si="82"/>
        <v>4.5308180329674999</v>
      </c>
      <c r="Z64" s="39">
        <f>36.5328692947617/1.2</f>
        <v>30.444057745634755</v>
      </c>
      <c r="AA64" s="39">
        <v>0</v>
      </c>
      <c r="AB64" s="39">
        <f t="shared" si="79"/>
        <v>0</v>
      </c>
      <c r="AC64" s="39">
        <v>0</v>
      </c>
      <c r="AD64" s="39">
        <f t="shared" si="59"/>
        <v>0</v>
      </c>
      <c r="AE64" s="39">
        <f t="shared" si="60"/>
        <v>0</v>
      </c>
      <c r="AF64" s="39">
        <f t="shared" si="60"/>
        <v>0</v>
      </c>
      <c r="AG64" s="39">
        <v>0</v>
      </c>
      <c r="AH64" s="39">
        <f t="shared" si="83"/>
        <v>0</v>
      </c>
      <c r="AI64" s="39">
        <v>0</v>
      </c>
      <c r="AJ64" s="39">
        <v>0</v>
      </c>
      <c r="AK64" s="39">
        <f>K64</f>
        <v>30.444057745634755</v>
      </c>
      <c r="AL64" s="39">
        <f>AK64</f>
        <v>30.444057745634755</v>
      </c>
      <c r="AM64" s="39">
        <f t="shared" si="84"/>
        <v>30.444057745634755</v>
      </c>
      <c r="AN64" s="39">
        <f t="shared" si="80"/>
        <v>30.444057745634755</v>
      </c>
      <c r="AO64" s="55"/>
      <c r="AP64" s="31"/>
      <c r="AQ64" s="31"/>
    </row>
    <row r="65" spans="1:43" ht="56.25" customHeight="1" x14ac:dyDescent="0.25">
      <c r="A65" s="46" t="s">
        <v>119</v>
      </c>
      <c r="B65" s="47" t="s">
        <v>190</v>
      </c>
      <c r="C65" s="48" t="s">
        <v>194</v>
      </c>
      <c r="D65" s="45" t="s">
        <v>259</v>
      </c>
      <c r="E65" s="45">
        <v>2019</v>
      </c>
      <c r="F65" s="45">
        <v>2020</v>
      </c>
      <c r="G65" s="45">
        <v>2020</v>
      </c>
      <c r="H65" s="40">
        <v>0.91779508066535842</v>
      </c>
      <c r="I65" s="40">
        <v>0.91779508066535842</v>
      </c>
      <c r="J65" s="39">
        <v>0</v>
      </c>
      <c r="K65" s="33">
        <f>[1]Лист1!$T$64/1.2</f>
        <v>5.3881191660000001</v>
      </c>
      <c r="L65" s="39">
        <v>1.0833299999999999</v>
      </c>
      <c r="M65" s="39">
        <v>2.0516930000000002</v>
      </c>
      <c r="N65" s="39">
        <v>2.2530961659999997</v>
      </c>
      <c r="O65" s="39">
        <v>0</v>
      </c>
      <c r="P65" s="40">
        <f t="shared" si="77"/>
        <v>6.6826531200000003</v>
      </c>
      <c r="Q65" s="40">
        <v>1.0833299999999999</v>
      </c>
      <c r="R65" s="40">
        <v>2.0516930000000002</v>
      </c>
      <c r="S65" s="40">
        <v>3.54763012</v>
      </c>
      <c r="T65" s="40">
        <f>O65</f>
        <v>0</v>
      </c>
      <c r="U65" s="41">
        <v>0</v>
      </c>
      <c r="V65" s="41">
        <v>0</v>
      </c>
      <c r="W65" s="39" t="s">
        <v>102</v>
      </c>
      <c r="X65" s="39">
        <v>0</v>
      </c>
      <c r="Y65" s="39">
        <v>0</v>
      </c>
      <c r="Z65" s="39">
        <v>0</v>
      </c>
      <c r="AA65" s="39">
        <v>1.48333</v>
      </c>
      <c r="AB65" s="39">
        <v>1.0833333300000001</v>
      </c>
      <c r="AC65" s="39">
        <v>3.904789166</v>
      </c>
      <c r="AD65" s="39">
        <v>5.5993231200000002</v>
      </c>
      <c r="AE65" s="39">
        <v>0</v>
      </c>
      <c r="AF65" s="39">
        <f t="shared" si="60"/>
        <v>0</v>
      </c>
      <c r="AG65" s="39">
        <v>0</v>
      </c>
      <c r="AH65" s="39">
        <f t="shared" si="83"/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f t="shared" si="84"/>
        <v>3.904789166</v>
      </c>
      <c r="AN65" s="39">
        <f t="shared" si="80"/>
        <v>5.5993231200000002</v>
      </c>
      <c r="AO65" s="55" t="s">
        <v>374</v>
      </c>
      <c r="AP65" s="31"/>
      <c r="AQ65" s="31"/>
    </row>
    <row r="66" spans="1:43" ht="55.5" customHeight="1" x14ac:dyDescent="0.25">
      <c r="A66" s="46" t="s">
        <v>124</v>
      </c>
      <c r="B66" s="47" t="s">
        <v>201</v>
      </c>
      <c r="C66" s="48" t="s">
        <v>195</v>
      </c>
      <c r="D66" s="45" t="s">
        <v>260</v>
      </c>
      <c r="E66" s="45">
        <v>2019</v>
      </c>
      <c r="F66" s="45">
        <v>2021</v>
      </c>
      <c r="G66" s="45">
        <v>2021</v>
      </c>
      <c r="H66" s="40">
        <v>8.777773100000001</v>
      </c>
      <c r="I66" s="40">
        <v>8.777773100000001</v>
      </c>
      <c r="J66" s="39">
        <v>0</v>
      </c>
      <c r="K66" s="33">
        <v>59.063928582702175</v>
      </c>
      <c r="L66" s="39">
        <v>1.071</v>
      </c>
      <c r="M66" s="39">
        <v>57.992928582702177</v>
      </c>
      <c r="N66" s="39">
        <v>0</v>
      </c>
      <c r="O66" s="39">
        <v>0</v>
      </c>
      <c r="P66" s="40">
        <f t="shared" si="77"/>
        <v>54.030247279999998</v>
      </c>
      <c r="Q66" s="40">
        <v>1.071</v>
      </c>
      <c r="R66" s="40">
        <v>52.95924728</v>
      </c>
      <c r="S66" s="40">
        <v>0</v>
      </c>
      <c r="T66" s="40">
        <f>O66</f>
        <v>0</v>
      </c>
      <c r="U66" s="41">
        <v>0</v>
      </c>
      <c r="V66" s="41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2.823</v>
      </c>
      <c r="AB66" s="39">
        <v>1.0708333300000001</v>
      </c>
      <c r="AC66" s="39">
        <v>0</v>
      </c>
      <c r="AD66" s="39">
        <f t="shared" si="59"/>
        <v>0</v>
      </c>
      <c r="AE66" s="39">
        <v>56.240928582702168</v>
      </c>
      <c r="AF66" s="39">
        <v>52.95924728</v>
      </c>
      <c r="AG66" s="39">
        <v>0</v>
      </c>
      <c r="AH66" s="39">
        <f t="shared" si="83"/>
        <v>0</v>
      </c>
      <c r="AI66" s="39">
        <v>0</v>
      </c>
      <c r="AJ66" s="39">
        <v>0</v>
      </c>
      <c r="AK66" s="39">
        <v>0</v>
      </c>
      <c r="AL66" s="39">
        <v>0</v>
      </c>
      <c r="AM66" s="39">
        <f t="shared" si="84"/>
        <v>56.240928582702168</v>
      </c>
      <c r="AN66" s="39">
        <f t="shared" si="80"/>
        <v>52.95924728</v>
      </c>
      <c r="AO66" s="55" t="s">
        <v>374</v>
      </c>
      <c r="AP66" s="31"/>
      <c r="AQ66" s="31"/>
    </row>
    <row r="67" spans="1:43" ht="53.25" customHeight="1" x14ac:dyDescent="0.25">
      <c r="A67" s="46" t="s">
        <v>132</v>
      </c>
      <c r="B67" s="47" t="s">
        <v>143</v>
      </c>
      <c r="C67" s="48" t="s">
        <v>196</v>
      </c>
      <c r="D67" s="45" t="s">
        <v>259</v>
      </c>
      <c r="E67" s="45">
        <v>2020</v>
      </c>
      <c r="F67" s="45">
        <v>2020</v>
      </c>
      <c r="G67" s="45">
        <v>2020</v>
      </c>
      <c r="H67" s="40">
        <v>2.1097044610557498</v>
      </c>
      <c r="I67" s="40">
        <v>2.1097044610557498</v>
      </c>
      <c r="J67" s="39">
        <v>0</v>
      </c>
      <c r="K67" s="33">
        <v>13.810853819446084</v>
      </c>
      <c r="L67" s="39">
        <v>1.17956667</v>
      </c>
      <c r="M67" s="39">
        <f>K67-L67-N67</f>
        <v>3.7946977794460839</v>
      </c>
      <c r="N67" s="39">
        <v>8.8365893700000004</v>
      </c>
      <c r="O67" s="39">
        <v>0</v>
      </c>
      <c r="P67" s="40">
        <f t="shared" si="77"/>
        <v>20.826152560000001</v>
      </c>
      <c r="Q67" s="40">
        <v>1.17956667</v>
      </c>
      <c r="R67" s="40">
        <v>8.8365893700000004</v>
      </c>
      <c r="S67" s="40">
        <v>10.80999652</v>
      </c>
      <c r="T67" s="40">
        <f>O67</f>
        <v>0</v>
      </c>
      <c r="U67" s="41">
        <v>0</v>
      </c>
      <c r="V67" s="41">
        <v>0</v>
      </c>
      <c r="W67" s="39" t="s">
        <v>102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13.810853819446084</v>
      </c>
      <c r="AD67" s="39">
        <v>20.826152559999997</v>
      </c>
      <c r="AE67" s="39">
        <v>0</v>
      </c>
      <c r="AF67" s="39">
        <f t="shared" si="60"/>
        <v>0</v>
      </c>
      <c r="AG67" s="39">
        <v>0</v>
      </c>
      <c r="AH67" s="39">
        <f t="shared" si="83"/>
        <v>0</v>
      </c>
      <c r="AI67" s="39">
        <v>0</v>
      </c>
      <c r="AJ67" s="39">
        <v>0</v>
      </c>
      <c r="AK67" s="39">
        <v>0</v>
      </c>
      <c r="AL67" s="39">
        <v>0</v>
      </c>
      <c r="AM67" s="39">
        <f t="shared" si="84"/>
        <v>13.810853819446084</v>
      </c>
      <c r="AN67" s="39">
        <f t="shared" si="80"/>
        <v>20.826152559999997</v>
      </c>
      <c r="AO67" s="55" t="s">
        <v>374</v>
      </c>
      <c r="AP67" s="31"/>
      <c r="AQ67" s="31"/>
    </row>
    <row r="68" spans="1:43" ht="53.25" customHeight="1" x14ac:dyDescent="0.25">
      <c r="A68" s="46" t="s">
        <v>133</v>
      </c>
      <c r="B68" s="47" t="s">
        <v>213</v>
      </c>
      <c r="C68" s="48" t="s">
        <v>219</v>
      </c>
      <c r="D68" s="45" t="s">
        <v>260</v>
      </c>
      <c r="E68" s="45">
        <v>2020</v>
      </c>
      <c r="F68" s="45">
        <v>2022</v>
      </c>
      <c r="G68" s="45">
        <v>2022</v>
      </c>
      <c r="H68" s="40">
        <v>8.7327773542420832</v>
      </c>
      <c r="I68" s="40">
        <v>8.7327773542420832</v>
      </c>
      <c r="J68" s="39">
        <v>0</v>
      </c>
      <c r="K68" s="33">
        <v>57.712648864800002</v>
      </c>
      <c r="L68" s="39">
        <v>0.93300000000000005</v>
      </c>
      <c r="M68" s="39">
        <v>13.133918944800008</v>
      </c>
      <c r="N68" s="39">
        <v>43.646000000000001</v>
      </c>
      <c r="O68" s="39">
        <v>0</v>
      </c>
      <c r="P68" s="40">
        <f t="shared" si="77"/>
        <v>56.363537569999998</v>
      </c>
      <c r="Q68" s="40">
        <f>919.93866/1000</f>
        <v>0.91993866000000002</v>
      </c>
      <c r="R68" s="40">
        <v>13.494858909999998</v>
      </c>
      <c r="S68" s="40">
        <v>41.948740000000001</v>
      </c>
      <c r="T68" s="40">
        <v>0</v>
      </c>
      <c r="U68" s="41">
        <v>0</v>
      </c>
      <c r="V68" s="41">
        <v>0</v>
      </c>
      <c r="W68" s="39">
        <v>0</v>
      </c>
      <c r="X68" s="39">
        <v>-6.4392935428259079E-15</v>
      </c>
      <c r="Y68" s="39">
        <v>8.5387993374000004</v>
      </c>
      <c r="Z68" s="39">
        <v>0</v>
      </c>
      <c r="AA68" s="39">
        <v>0</v>
      </c>
      <c r="AB68" s="39">
        <f t="shared" ref="AB68:AB72" si="85">AA68</f>
        <v>0</v>
      </c>
      <c r="AC68" s="39">
        <v>0</v>
      </c>
      <c r="AD68" s="39">
        <f t="shared" si="59"/>
        <v>0</v>
      </c>
      <c r="AE68" s="39">
        <v>0.93286620000000009</v>
      </c>
      <c r="AF68" s="39">
        <v>0.91993866000000002</v>
      </c>
      <c r="AG68" s="39">
        <v>56.779782664800003</v>
      </c>
      <c r="AH68" s="39">
        <f>55443.59891/1000</f>
        <v>55.443598909999999</v>
      </c>
      <c r="AI68" s="39">
        <v>0</v>
      </c>
      <c r="AJ68" s="39">
        <v>0</v>
      </c>
      <c r="AK68" s="39">
        <v>0</v>
      </c>
      <c r="AL68" s="39">
        <v>0</v>
      </c>
      <c r="AM68" s="39">
        <f t="shared" si="84"/>
        <v>57.712648864800002</v>
      </c>
      <c r="AN68" s="39">
        <f t="shared" si="80"/>
        <v>56.363537569999998</v>
      </c>
      <c r="AO68" s="55" t="s">
        <v>374</v>
      </c>
      <c r="AP68" s="31"/>
      <c r="AQ68" s="31"/>
    </row>
    <row r="69" spans="1:43" ht="48.75" customHeight="1" x14ac:dyDescent="0.25">
      <c r="A69" s="46" t="s">
        <v>134</v>
      </c>
      <c r="B69" s="47" t="s">
        <v>290</v>
      </c>
      <c r="C69" s="48" t="s">
        <v>197</v>
      </c>
      <c r="D69" s="45" t="s">
        <v>111</v>
      </c>
      <c r="E69" s="45">
        <v>2022</v>
      </c>
      <c r="F69" s="45">
        <v>2023</v>
      </c>
      <c r="G69" s="45">
        <v>2023</v>
      </c>
      <c r="H69" s="40">
        <v>0.19298245614035084</v>
      </c>
      <c r="I69" s="40">
        <v>0.19298245614035084</v>
      </c>
      <c r="J69" s="39">
        <v>0</v>
      </c>
      <c r="K69" s="33">
        <v>1.1000000000000001</v>
      </c>
      <c r="L69" s="39">
        <v>1.1000000000000001</v>
      </c>
      <c r="M69" s="39">
        <v>0</v>
      </c>
      <c r="N69" s="39">
        <v>0</v>
      </c>
      <c r="O69" s="39">
        <v>0</v>
      </c>
      <c r="P69" s="40">
        <f>SUM(Q69:T69)</f>
        <v>1.1000000000000001</v>
      </c>
      <c r="Q69" s="40">
        <f>1100/1000</f>
        <v>1.1000000000000001</v>
      </c>
      <c r="R69" s="40">
        <v>0</v>
      </c>
      <c r="S69" s="40">
        <v>0</v>
      </c>
      <c r="T69" s="40">
        <v>0</v>
      </c>
      <c r="U69" s="41">
        <v>0</v>
      </c>
      <c r="V69" s="41">
        <v>0</v>
      </c>
      <c r="W69" s="39">
        <v>0</v>
      </c>
      <c r="X69" s="39">
        <v>0</v>
      </c>
      <c r="Y69" s="39">
        <f>231.578947368421/1000</f>
        <v>0.23157894736842102</v>
      </c>
      <c r="Z69" s="39">
        <v>0</v>
      </c>
      <c r="AA69" s="39">
        <f>J69</f>
        <v>0</v>
      </c>
      <c r="AB69" s="39">
        <f t="shared" si="85"/>
        <v>0</v>
      </c>
      <c r="AC69" s="39">
        <v>0</v>
      </c>
      <c r="AD69" s="39">
        <f t="shared" si="59"/>
        <v>0</v>
      </c>
      <c r="AE69" s="39">
        <f t="shared" si="60"/>
        <v>0</v>
      </c>
      <c r="AF69" s="39">
        <f t="shared" si="60"/>
        <v>0</v>
      </c>
      <c r="AG69" s="39">
        <v>1.1000000000000001</v>
      </c>
      <c r="AH69" s="39">
        <v>1.1000000000000001</v>
      </c>
      <c r="AI69" s="39">
        <v>0</v>
      </c>
      <c r="AJ69" s="39">
        <v>0</v>
      </c>
      <c r="AK69" s="39">
        <v>0</v>
      </c>
      <c r="AL69" s="39">
        <v>0</v>
      </c>
      <c r="AM69" s="39">
        <f t="shared" si="84"/>
        <v>1.1000000000000001</v>
      </c>
      <c r="AN69" s="39">
        <f t="shared" si="80"/>
        <v>1.1000000000000001</v>
      </c>
      <c r="AO69" s="55" t="s">
        <v>374</v>
      </c>
      <c r="AP69" s="31"/>
      <c r="AQ69" s="31"/>
    </row>
    <row r="70" spans="1:43" ht="46.5" customHeight="1" x14ac:dyDescent="0.25">
      <c r="A70" s="46" t="s">
        <v>135</v>
      </c>
      <c r="B70" s="47" t="s">
        <v>144</v>
      </c>
      <c r="C70" s="48" t="s">
        <v>198</v>
      </c>
      <c r="D70" s="45" t="s">
        <v>111</v>
      </c>
      <c r="E70" s="45">
        <v>2023</v>
      </c>
      <c r="F70" s="45">
        <v>2023</v>
      </c>
      <c r="G70" s="45">
        <v>2023</v>
      </c>
      <c r="H70" s="40">
        <v>3.9221579936209583</v>
      </c>
      <c r="I70" s="40">
        <v>0</v>
      </c>
      <c r="J70" s="39">
        <v>0</v>
      </c>
      <c r="K70" s="33">
        <v>26.449022300589</v>
      </c>
      <c r="L70" s="39">
        <v>3.2419508860362001</v>
      </c>
      <c r="M70" s="39">
        <v>5.8522478052205296</v>
      </c>
      <c r="N70" s="39">
        <v>17.3548236093323</v>
      </c>
      <c r="O70" s="39">
        <v>0</v>
      </c>
      <c r="P70" s="40">
        <f t="shared" si="77"/>
        <v>0</v>
      </c>
      <c r="Q70" s="40">
        <v>0</v>
      </c>
      <c r="R70" s="40">
        <v>0</v>
      </c>
      <c r="S70" s="40">
        <v>0</v>
      </c>
      <c r="T70" s="40">
        <f t="shared" ref="Q70:T72" si="86">O70</f>
        <v>0</v>
      </c>
      <c r="U70" s="41">
        <v>0</v>
      </c>
      <c r="V70" s="41">
        <v>0</v>
      </c>
      <c r="W70" s="39">
        <v>3.9221579936209583</v>
      </c>
      <c r="X70" s="39">
        <f>31.7388267607068/1.2</f>
        <v>26.449022300589</v>
      </c>
      <c r="Y70" s="39">
        <v>0</v>
      </c>
      <c r="Z70" s="39">
        <v>0</v>
      </c>
      <c r="AA70" s="39">
        <v>0</v>
      </c>
      <c r="AB70" s="39">
        <f t="shared" si="85"/>
        <v>0</v>
      </c>
      <c r="AC70" s="39">
        <v>0</v>
      </c>
      <c r="AD70" s="39">
        <f t="shared" si="59"/>
        <v>0</v>
      </c>
      <c r="AE70" s="39">
        <f t="shared" si="60"/>
        <v>0</v>
      </c>
      <c r="AF70" s="39">
        <f t="shared" si="60"/>
        <v>0</v>
      </c>
      <c r="AG70" s="39">
        <v>0</v>
      </c>
      <c r="AH70" s="39">
        <f t="shared" si="83"/>
        <v>0</v>
      </c>
      <c r="AI70" s="39">
        <f>K70</f>
        <v>26.449022300589</v>
      </c>
      <c r="AJ70" s="39">
        <v>0</v>
      </c>
      <c r="AK70" s="39">
        <v>0</v>
      </c>
      <c r="AL70" s="39">
        <v>0</v>
      </c>
      <c r="AM70" s="39">
        <f t="shared" si="84"/>
        <v>26.449022300589</v>
      </c>
      <c r="AN70" s="39">
        <f t="shared" si="80"/>
        <v>0</v>
      </c>
      <c r="AO70" s="55" t="s">
        <v>373</v>
      </c>
      <c r="AP70" s="31"/>
      <c r="AQ70" s="31"/>
    </row>
    <row r="71" spans="1:43" ht="39" customHeight="1" x14ac:dyDescent="0.25">
      <c r="A71" s="46" t="s">
        <v>136</v>
      </c>
      <c r="B71" s="47" t="s">
        <v>145</v>
      </c>
      <c r="C71" s="48" t="s">
        <v>199</v>
      </c>
      <c r="D71" s="45" t="s">
        <v>111</v>
      </c>
      <c r="E71" s="45">
        <v>2024</v>
      </c>
      <c r="F71" s="45">
        <v>2024</v>
      </c>
      <c r="G71" s="45">
        <v>2024</v>
      </c>
      <c r="H71" s="40">
        <v>6.1263603260050008</v>
      </c>
      <c r="I71" s="40">
        <v>6.1263603260050008</v>
      </c>
      <c r="J71" s="39">
        <v>0</v>
      </c>
      <c r="K71" s="33">
        <v>43.60641156473384</v>
      </c>
      <c r="L71" s="39">
        <v>0</v>
      </c>
      <c r="M71" s="39">
        <v>9.3239186588465692</v>
      </c>
      <c r="N71" s="39">
        <v>34.282492905887302</v>
      </c>
      <c r="O71" s="39">
        <v>0</v>
      </c>
      <c r="P71" s="40">
        <f t="shared" si="77"/>
        <v>43.606411564733875</v>
      </c>
      <c r="Q71" s="40">
        <f t="shared" si="86"/>
        <v>0</v>
      </c>
      <c r="R71" s="40">
        <f t="shared" si="86"/>
        <v>9.3239186588465692</v>
      </c>
      <c r="S71" s="40">
        <f t="shared" si="86"/>
        <v>34.282492905887302</v>
      </c>
      <c r="T71" s="40">
        <f t="shared" si="86"/>
        <v>0</v>
      </c>
      <c r="U71" s="41">
        <v>0</v>
      </c>
      <c r="V71" s="41">
        <v>0</v>
      </c>
      <c r="W71" s="39">
        <v>6.1263603260050008</v>
      </c>
      <c r="X71" s="39">
        <f>52.3276938776806/1.2</f>
        <v>43.60641156473384</v>
      </c>
      <c r="Y71" s="39">
        <f t="shared" ref="Y71" si="87">W71</f>
        <v>6.1263603260050008</v>
      </c>
      <c r="Z71" s="39">
        <f>52.3276938776806/1.2</f>
        <v>43.60641156473384</v>
      </c>
      <c r="AA71" s="39">
        <v>0</v>
      </c>
      <c r="AB71" s="39">
        <f t="shared" si="85"/>
        <v>0</v>
      </c>
      <c r="AC71" s="39">
        <v>0</v>
      </c>
      <c r="AD71" s="39">
        <f t="shared" si="59"/>
        <v>0</v>
      </c>
      <c r="AE71" s="39">
        <f t="shared" si="60"/>
        <v>0</v>
      </c>
      <c r="AF71" s="39">
        <f t="shared" si="60"/>
        <v>0</v>
      </c>
      <c r="AG71" s="39">
        <v>0</v>
      </c>
      <c r="AH71" s="39">
        <f t="shared" si="83"/>
        <v>0</v>
      </c>
      <c r="AI71" s="39">
        <v>0</v>
      </c>
      <c r="AJ71" s="39">
        <v>0</v>
      </c>
      <c r="AK71" s="39">
        <f>K71</f>
        <v>43.60641156473384</v>
      </c>
      <c r="AL71" s="39">
        <f>AK71</f>
        <v>43.60641156473384</v>
      </c>
      <c r="AM71" s="39">
        <f t="shared" si="84"/>
        <v>43.60641156473384</v>
      </c>
      <c r="AN71" s="39">
        <f t="shared" si="80"/>
        <v>43.60641156473384</v>
      </c>
      <c r="AO71" s="55"/>
      <c r="AP71" s="31"/>
      <c r="AQ71" s="31"/>
    </row>
    <row r="72" spans="1:43" ht="50.25" customHeight="1" x14ac:dyDescent="0.25">
      <c r="A72" s="46" t="s">
        <v>137</v>
      </c>
      <c r="B72" s="47" t="s">
        <v>146</v>
      </c>
      <c r="C72" s="48" t="s">
        <v>200</v>
      </c>
      <c r="D72" s="45" t="s">
        <v>111</v>
      </c>
      <c r="E72" s="45">
        <v>2024</v>
      </c>
      <c r="F72" s="45">
        <v>2024</v>
      </c>
      <c r="G72" s="45">
        <v>2024</v>
      </c>
      <c r="H72" s="40">
        <v>1.9634759239025001</v>
      </c>
      <c r="I72" s="40">
        <v>1.9634759239025001</v>
      </c>
      <c r="J72" s="39">
        <v>0</v>
      </c>
      <c r="K72" s="33">
        <v>13.633796775676416</v>
      </c>
      <c r="L72" s="39">
        <v>0</v>
      </c>
      <c r="M72" s="39">
        <v>3.19964874882761</v>
      </c>
      <c r="N72" s="39">
        <v>10.434148026848799</v>
      </c>
      <c r="O72" s="39">
        <v>0</v>
      </c>
      <c r="P72" s="40">
        <f t="shared" si="77"/>
        <v>13.633796775676409</v>
      </c>
      <c r="Q72" s="40">
        <f t="shared" si="86"/>
        <v>0</v>
      </c>
      <c r="R72" s="40">
        <f t="shared" si="86"/>
        <v>3.19964874882761</v>
      </c>
      <c r="S72" s="40">
        <f t="shared" si="86"/>
        <v>10.434148026848799</v>
      </c>
      <c r="T72" s="40">
        <f t="shared" si="86"/>
        <v>0</v>
      </c>
      <c r="U72" s="41">
        <v>0</v>
      </c>
      <c r="V72" s="41">
        <v>0</v>
      </c>
      <c r="W72" s="39">
        <v>1.9634759239025001</v>
      </c>
      <c r="X72" s="39">
        <f>16.3605561308117/1.2</f>
        <v>13.633796775676416</v>
      </c>
      <c r="Y72" s="39">
        <f>W72</f>
        <v>1.9634759239025001</v>
      </c>
      <c r="Z72" s="39">
        <f>16.3605561308117/1.2</f>
        <v>13.633796775676416</v>
      </c>
      <c r="AA72" s="39">
        <v>0</v>
      </c>
      <c r="AB72" s="39">
        <f t="shared" si="85"/>
        <v>0</v>
      </c>
      <c r="AC72" s="39">
        <v>0</v>
      </c>
      <c r="AD72" s="39">
        <f t="shared" si="59"/>
        <v>0</v>
      </c>
      <c r="AE72" s="39">
        <f t="shared" si="60"/>
        <v>0</v>
      </c>
      <c r="AF72" s="39">
        <f t="shared" si="60"/>
        <v>0</v>
      </c>
      <c r="AG72" s="39">
        <v>0</v>
      </c>
      <c r="AH72" s="39">
        <f t="shared" si="83"/>
        <v>0</v>
      </c>
      <c r="AI72" s="39">
        <v>0</v>
      </c>
      <c r="AJ72" s="39">
        <v>0</v>
      </c>
      <c r="AK72" s="39">
        <f>K72</f>
        <v>13.633796775676416</v>
      </c>
      <c r="AL72" s="39">
        <f>AK72</f>
        <v>13.633796775676416</v>
      </c>
      <c r="AM72" s="39">
        <f t="shared" si="84"/>
        <v>13.633796775676416</v>
      </c>
      <c r="AN72" s="39">
        <f t="shared" si="80"/>
        <v>13.633796775676416</v>
      </c>
      <c r="AO72" s="55"/>
      <c r="AP72" s="31"/>
      <c r="AQ72" s="31"/>
    </row>
    <row r="73" spans="1:43" ht="56.25" customHeight="1" x14ac:dyDescent="0.25">
      <c r="A73" s="46" t="s">
        <v>138</v>
      </c>
      <c r="B73" s="47" t="s">
        <v>214</v>
      </c>
      <c r="C73" s="60" t="s">
        <v>215</v>
      </c>
      <c r="D73" s="45" t="s">
        <v>259</v>
      </c>
      <c r="E73" s="45">
        <v>2020</v>
      </c>
      <c r="F73" s="45">
        <v>2020</v>
      </c>
      <c r="G73" s="45">
        <v>2020</v>
      </c>
      <c r="H73" s="40">
        <v>10.905627487650001</v>
      </c>
      <c r="I73" s="40">
        <v>10.905627487650001</v>
      </c>
      <c r="J73" s="39">
        <v>0</v>
      </c>
      <c r="K73" s="33">
        <v>53.714552893500006</v>
      </c>
      <c r="L73" s="39">
        <v>0</v>
      </c>
      <c r="M73" s="39">
        <v>6.6639999999999997</v>
      </c>
      <c r="N73" s="39">
        <v>47.051000000000002</v>
      </c>
      <c r="O73" s="39">
        <v>0</v>
      </c>
      <c r="P73" s="40">
        <f t="shared" si="77"/>
        <v>50.632525530000009</v>
      </c>
      <c r="Q73" s="40">
        <v>0</v>
      </c>
      <c r="R73" s="40">
        <v>3.4675245300000102</v>
      </c>
      <c r="S73" s="40">
        <v>47.165000999999997</v>
      </c>
      <c r="T73" s="40">
        <v>0</v>
      </c>
      <c r="U73" s="41">
        <v>0</v>
      </c>
      <c r="V73" s="41">
        <v>0</v>
      </c>
      <c r="W73" s="39" t="s">
        <v>102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53.714552893500006</v>
      </c>
      <c r="AD73" s="39">
        <v>50.632525530000002</v>
      </c>
      <c r="AE73" s="39">
        <v>0</v>
      </c>
      <c r="AF73" s="39">
        <v>0</v>
      </c>
      <c r="AG73" s="39">
        <v>0</v>
      </c>
      <c r="AH73" s="39">
        <f t="shared" si="83"/>
        <v>0</v>
      </c>
      <c r="AI73" s="39">
        <v>0</v>
      </c>
      <c r="AJ73" s="39">
        <v>0</v>
      </c>
      <c r="AK73" s="39">
        <v>0</v>
      </c>
      <c r="AL73" s="39">
        <v>0</v>
      </c>
      <c r="AM73" s="39">
        <f t="shared" si="84"/>
        <v>53.714552893500006</v>
      </c>
      <c r="AN73" s="39">
        <f t="shared" si="80"/>
        <v>50.632525530000002</v>
      </c>
      <c r="AO73" s="55" t="s">
        <v>374</v>
      </c>
      <c r="AP73" s="31"/>
      <c r="AQ73" s="31"/>
    </row>
    <row r="74" spans="1:43" ht="59.25" customHeight="1" x14ac:dyDescent="0.25">
      <c r="A74" s="46" t="s">
        <v>139</v>
      </c>
      <c r="B74" s="47" t="s">
        <v>291</v>
      </c>
      <c r="C74" s="62" t="s">
        <v>296</v>
      </c>
      <c r="D74" s="45" t="s">
        <v>111</v>
      </c>
      <c r="E74" s="45">
        <v>2022</v>
      </c>
      <c r="F74" s="45">
        <v>2022</v>
      </c>
      <c r="G74" s="45">
        <v>2022</v>
      </c>
      <c r="H74" s="40">
        <v>9.4892997603000016</v>
      </c>
      <c r="I74" s="40">
        <v>9.4892997603000016</v>
      </c>
      <c r="J74" s="39">
        <v>0</v>
      </c>
      <c r="K74" s="33">
        <v>47.43856273035</v>
      </c>
      <c r="L74" s="39">
        <v>0</v>
      </c>
      <c r="M74" s="39">
        <v>7.37504619035</v>
      </c>
      <c r="N74" s="39">
        <v>40.063516539999995</v>
      </c>
      <c r="O74" s="39">
        <v>0</v>
      </c>
      <c r="P74" s="40">
        <f t="shared" si="77"/>
        <v>46.677214970000001</v>
      </c>
      <c r="Q74" s="40">
        <v>0</v>
      </c>
      <c r="R74" s="40">
        <v>6.6136984300000066</v>
      </c>
      <c r="S74" s="40">
        <v>40.063516539999995</v>
      </c>
      <c r="T74" s="40">
        <v>0</v>
      </c>
      <c r="U74" s="41">
        <v>0</v>
      </c>
      <c r="V74" s="41">
        <v>0</v>
      </c>
      <c r="W74" s="39">
        <v>0</v>
      </c>
      <c r="X74" s="39">
        <v>0</v>
      </c>
      <c r="Y74" s="39">
        <f>9489.2997603/1000</f>
        <v>9.4892997602999998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  <c r="AG74" s="39">
        <v>47.438562730349993</v>
      </c>
      <c r="AH74" s="39">
        <f>46677.21497/1000</f>
        <v>46.677214970000001</v>
      </c>
      <c r="AI74" s="39">
        <v>0</v>
      </c>
      <c r="AJ74" s="39">
        <v>0</v>
      </c>
      <c r="AK74" s="39">
        <v>0</v>
      </c>
      <c r="AL74" s="39">
        <v>0</v>
      </c>
      <c r="AM74" s="39">
        <f t="shared" si="84"/>
        <v>47.438562730349993</v>
      </c>
      <c r="AN74" s="39">
        <f t="shared" si="80"/>
        <v>46.677214970000001</v>
      </c>
      <c r="AO74" s="55" t="s">
        <v>374</v>
      </c>
      <c r="AP74" s="31"/>
      <c r="AQ74" s="31"/>
    </row>
    <row r="75" spans="1:43" ht="108.75" customHeight="1" x14ac:dyDescent="0.25">
      <c r="A75" s="46" t="s">
        <v>292</v>
      </c>
      <c r="B75" s="47" t="s">
        <v>385</v>
      </c>
      <c r="C75" s="62" t="s">
        <v>329</v>
      </c>
      <c r="D75" s="45" t="s">
        <v>111</v>
      </c>
      <c r="E75" s="45">
        <v>2023</v>
      </c>
      <c r="F75" s="45" t="s">
        <v>102</v>
      </c>
      <c r="G75" s="45">
        <v>2023</v>
      </c>
      <c r="H75" s="39" t="s">
        <v>102</v>
      </c>
      <c r="I75" s="40">
        <f>0.322776156/1.2</f>
        <v>0.26898012999999998</v>
      </c>
      <c r="J75" s="39">
        <v>0</v>
      </c>
      <c r="K75" s="33" t="s">
        <v>102</v>
      </c>
      <c r="L75" s="39">
        <v>0</v>
      </c>
      <c r="M75" s="39">
        <v>0</v>
      </c>
      <c r="N75" s="39">
        <v>0</v>
      </c>
      <c r="O75" s="39">
        <v>0</v>
      </c>
      <c r="P75" s="40">
        <f t="shared" si="77"/>
        <v>3.5847997400000002</v>
      </c>
      <c r="Q75" s="40">
        <v>0.3</v>
      </c>
      <c r="R75" s="40">
        <v>1.4703294200000001</v>
      </c>
      <c r="S75" s="40">
        <v>1.8144703200000001</v>
      </c>
      <c r="T75" s="40">
        <v>0</v>
      </c>
      <c r="U75" s="41">
        <v>0</v>
      </c>
      <c r="V75" s="41">
        <v>0</v>
      </c>
      <c r="W75" s="39">
        <v>0</v>
      </c>
      <c r="X75" s="39">
        <v>0</v>
      </c>
      <c r="Y75" s="39" t="s">
        <v>102</v>
      </c>
      <c r="Z75" s="39">
        <v>3.5847997400000002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  <c r="AG75" s="39">
        <v>0</v>
      </c>
      <c r="AH75" s="39">
        <v>0</v>
      </c>
      <c r="AI75" s="39" t="s">
        <v>102</v>
      </c>
      <c r="AJ75" s="39">
        <v>3.5847997400000002</v>
      </c>
      <c r="AK75" s="39">
        <v>0</v>
      </c>
      <c r="AL75" s="39">
        <v>0</v>
      </c>
      <c r="AM75" s="39" t="s">
        <v>102</v>
      </c>
      <c r="AN75" s="39">
        <f t="shared" si="80"/>
        <v>3.5847997400000002</v>
      </c>
      <c r="AO75" s="55" t="s">
        <v>386</v>
      </c>
      <c r="AP75" s="31"/>
      <c r="AQ75" s="31"/>
    </row>
    <row r="76" spans="1:43" ht="61.5" customHeight="1" x14ac:dyDescent="0.25">
      <c r="A76" s="46" t="s">
        <v>342</v>
      </c>
      <c r="B76" s="47" t="s">
        <v>330</v>
      </c>
      <c r="C76" s="62" t="s">
        <v>331</v>
      </c>
      <c r="D76" s="45" t="s">
        <v>111</v>
      </c>
      <c r="E76" s="45">
        <v>2023</v>
      </c>
      <c r="F76" s="45" t="s">
        <v>102</v>
      </c>
      <c r="G76" s="45">
        <v>2023</v>
      </c>
      <c r="H76" s="39" t="s">
        <v>102</v>
      </c>
      <c r="I76" s="40">
        <f>322.28036355/1000</f>
        <v>0.32228036355</v>
      </c>
      <c r="J76" s="39">
        <v>0</v>
      </c>
      <c r="K76" s="33" t="s">
        <v>102</v>
      </c>
      <c r="L76" s="39">
        <v>0</v>
      </c>
      <c r="M76" s="39">
        <v>0</v>
      </c>
      <c r="N76" s="39">
        <v>0</v>
      </c>
      <c r="O76" s="39">
        <v>0</v>
      </c>
      <c r="P76" s="40">
        <f t="shared" si="77"/>
        <v>2.2124684000000001</v>
      </c>
      <c r="Q76" s="40">
        <v>0</v>
      </c>
      <c r="R76" s="40">
        <v>0.2970106855400001</v>
      </c>
      <c r="S76" s="40">
        <v>1.91545771446</v>
      </c>
      <c r="T76" s="40">
        <v>0</v>
      </c>
      <c r="U76" s="41">
        <v>0</v>
      </c>
      <c r="V76" s="41">
        <v>0</v>
      </c>
      <c r="W76" s="39">
        <v>0</v>
      </c>
      <c r="X76" s="39">
        <v>0</v>
      </c>
      <c r="Y76" s="39" t="s">
        <v>102</v>
      </c>
      <c r="Z76" s="39">
        <f>2.65496208/1.2</f>
        <v>2.2124684000000001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  <c r="AG76" s="39">
        <v>0</v>
      </c>
      <c r="AH76" s="39">
        <v>0</v>
      </c>
      <c r="AI76" s="39" t="s">
        <v>102</v>
      </c>
      <c r="AJ76" s="39">
        <f>2212.4684/1000</f>
        <v>2.2124684000000001</v>
      </c>
      <c r="AK76" s="39">
        <v>0</v>
      </c>
      <c r="AL76" s="39">
        <v>0</v>
      </c>
      <c r="AM76" s="39" t="s">
        <v>102</v>
      </c>
      <c r="AN76" s="39">
        <f t="shared" si="80"/>
        <v>2.2124684000000001</v>
      </c>
      <c r="AO76" s="55" t="s">
        <v>374</v>
      </c>
      <c r="AP76" s="31"/>
      <c r="AQ76" s="31"/>
    </row>
    <row r="77" spans="1:43" ht="52.5" customHeight="1" x14ac:dyDescent="0.25">
      <c r="A77" s="46" t="s">
        <v>343</v>
      </c>
      <c r="B77" s="47" t="s">
        <v>332</v>
      </c>
      <c r="C77" s="62" t="s">
        <v>333</v>
      </c>
      <c r="D77" s="45" t="s">
        <v>111</v>
      </c>
      <c r="E77" s="45">
        <v>2023</v>
      </c>
      <c r="F77" s="45" t="s">
        <v>102</v>
      </c>
      <c r="G77" s="45">
        <v>2023</v>
      </c>
      <c r="H77" s="39" t="s">
        <v>102</v>
      </c>
      <c r="I77" s="40">
        <f>269.56667625/1000</f>
        <v>0.26956667625000003</v>
      </c>
      <c r="J77" s="39">
        <v>0</v>
      </c>
      <c r="K77" s="33" t="s">
        <v>102</v>
      </c>
      <c r="L77" s="39">
        <v>0</v>
      </c>
      <c r="M77" s="39">
        <v>0</v>
      </c>
      <c r="N77" s="39">
        <v>0</v>
      </c>
      <c r="O77" s="39">
        <v>0</v>
      </c>
      <c r="P77" s="40">
        <f t="shared" si="77"/>
        <v>1.8467998299999999</v>
      </c>
      <c r="Q77" s="40">
        <v>0</v>
      </c>
      <c r="R77" s="40">
        <v>0.23623841370999998</v>
      </c>
      <c r="S77" s="40">
        <v>1.6105614162899999</v>
      </c>
      <c r="T77" s="40">
        <v>0</v>
      </c>
      <c r="U77" s="41">
        <v>0</v>
      </c>
      <c r="V77" s="41">
        <v>0</v>
      </c>
      <c r="W77" s="39">
        <v>0</v>
      </c>
      <c r="X77" s="39">
        <v>0</v>
      </c>
      <c r="Y77" s="39" t="s">
        <v>102</v>
      </c>
      <c r="Z77" s="39">
        <f>2.216159796/1.2</f>
        <v>1.8467998299999999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  <c r="AG77" s="39">
        <v>0</v>
      </c>
      <c r="AH77" s="39">
        <v>0</v>
      </c>
      <c r="AI77" s="39" t="s">
        <v>102</v>
      </c>
      <c r="AJ77" s="39">
        <f>1846.79983/1000</f>
        <v>1.8467998299999999</v>
      </c>
      <c r="AK77" s="39">
        <v>0</v>
      </c>
      <c r="AL77" s="39">
        <v>0</v>
      </c>
      <c r="AM77" s="39" t="s">
        <v>102</v>
      </c>
      <c r="AN77" s="39">
        <f t="shared" si="80"/>
        <v>1.8467998299999999</v>
      </c>
      <c r="AO77" s="55" t="s">
        <v>374</v>
      </c>
      <c r="AP77" s="31"/>
      <c r="AQ77" s="31"/>
    </row>
    <row r="78" spans="1:43" ht="54" customHeight="1" x14ac:dyDescent="0.25">
      <c r="A78" s="46" t="s">
        <v>344</v>
      </c>
      <c r="B78" s="47" t="s">
        <v>334</v>
      </c>
      <c r="C78" s="62" t="s">
        <v>335</v>
      </c>
      <c r="D78" s="45" t="s">
        <v>111</v>
      </c>
      <c r="E78" s="45">
        <v>2023</v>
      </c>
      <c r="F78" s="45" t="s">
        <v>102</v>
      </c>
      <c r="G78" s="45">
        <v>2023</v>
      </c>
      <c r="H78" s="39" t="s">
        <v>102</v>
      </c>
      <c r="I78" s="40">
        <f>665.85312835249/1000</f>
        <v>0.66585312835249</v>
      </c>
      <c r="J78" s="39">
        <v>0</v>
      </c>
      <c r="K78" s="33" t="s">
        <v>102</v>
      </c>
      <c r="L78" s="39">
        <v>0</v>
      </c>
      <c r="M78" s="39">
        <v>0</v>
      </c>
      <c r="N78" s="39">
        <v>0</v>
      </c>
      <c r="O78" s="39">
        <v>0</v>
      </c>
      <c r="P78" s="40">
        <f t="shared" si="77"/>
        <v>3.4757533299999999</v>
      </c>
      <c r="Q78" s="40">
        <v>3.4757533299999999</v>
      </c>
      <c r="R78" s="40">
        <v>0</v>
      </c>
      <c r="S78" s="40">
        <v>0</v>
      </c>
      <c r="T78" s="40">
        <v>0</v>
      </c>
      <c r="U78" s="41">
        <v>0</v>
      </c>
      <c r="V78" s="41">
        <v>0</v>
      </c>
      <c r="W78" s="39">
        <v>0</v>
      </c>
      <c r="X78" s="39">
        <v>0</v>
      </c>
      <c r="Y78" s="39" t="s">
        <v>102</v>
      </c>
      <c r="Z78" s="39">
        <f>4.170903996/1.2</f>
        <v>3.4757533299999999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  <c r="AG78" s="39">
        <v>0</v>
      </c>
      <c r="AH78" s="39">
        <v>0</v>
      </c>
      <c r="AI78" s="39" t="s">
        <v>102</v>
      </c>
      <c r="AJ78" s="39">
        <f>3475.75333/1000</f>
        <v>3.4757533299999999</v>
      </c>
      <c r="AK78" s="39">
        <v>0</v>
      </c>
      <c r="AL78" s="39">
        <v>0</v>
      </c>
      <c r="AM78" s="39" t="s">
        <v>102</v>
      </c>
      <c r="AN78" s="39">
        <f t="shared" si="80"/>
        <v>3.4757533299999999</v>
      </c>
      <c r="AO78" s="55" t="s">
        <v>374</v>
      </c>
      <c r="AP78" s="31"/>
      <c r="AQ78" s="31"/>
    </row>
    <row r="79" spans="1:43" ht="54" customHeight="1" x14ac:dyDescent="0.25">
      <c r="A79" s="46" t="s">
        <v>345</v>
      </c>
      <c r="B79" s="47" t="s">
        <v>336</v>
      </c>
      <c r="C79" s="62" t="s">
        <v>337</v>
      </c>
      <c r="D79" s="45" t="s">
        <v>111</v>
      </c>
      <c r="E79" s="45">
        <v>2023</v>
      </c>
      <c r="F79" s="45" t="s">
        <v>102</v>
      </c>
      <c r="G79" s="45">
        <v>2023</v>
      </c>
      <c r="H79" s="39" t="s">
        <v>102</v>
      </c>
      <c r="I79" s="40">
        <f>2080.62588162395/1000</f>
        <v>2.0806258816239502</v>
      </c>
      <c r="J79" s="39">
        <v>0</v>
      </c>
      <c r="K79" s="33" t="s">
        <v>102</v>
      </c>
      <c r="L79" s="39">
        <v>0</v>
      </c>
      <c r="M79" s="39">
        <v>0</v>
      </c>
      <c r="N79" s="39">
        <v>0</v>
      </c>
      <c r="O79" s="39">
        <v>0</v>
      </c>
      <c r="P79" s="40">
        <f t="shared" si="77"/>
        <v>17.242829959999998</v>
      </c>
      <c r="Q79" s="40">
        <v>1.1924000000000001</v>
      </c>
      <c r="R79" s="40">
        <v>6.150563792549999</v>
      </c>
      <c r="S79" s="40">
        <v>9.8998661674499999</v>
      </c>
      <c r="T79" s="40">
        <v>0</v>
      </c>
      <c r="U79" s="41">
        <v>0</v>
      </c>
      <c r="V79" s="41">
        <v>0</v>
      </c>
      <c r="W79" s="39">
        <v>0</v>
      </c>
      <c r="X79" s="39">
        <v>0</v>
      </c>
      <c r="Y79" s="39" t="s">
        <v>102</v>
      </c>
      <c r="Z79" s="39">
        <f>20.691395952/1.2</f>
        <v>17.242829960000002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  <c r="AG79" s="39">
        <v>0</v>
      </c>
      <c r="AH79" s="39">
        <v>0</v>
      </c>
      <c r="AI79" s="39" t="s">
        <v>102</v>
      </c>
      <c r="AJ79" s="39">
        <f>17242.82996/1000</f>
        <v>17.242829959999998</v>
      </c>
      <c r="AK79" s="39">
        <v>0</v>
      </c>
      <c r="AL79" s="39">
        <v>0</v>
      </c>
      <c r="AM79" s="39" t="s">
        <v>102</v>
      </c>
      <c r="AN79" s="39">
        <f t="shared" si="80"/>
        <v>17.242829959999998</v>
      </c>
      <c r="AO79" s="55" t="s">
        <v>374</v>
      </c>
      <c r="AP79" s="31"/>
      <c r="AQ79" s="31"/>
    </row>
    <row r="80" spans="1:43" ht="59.25" customHeight="1" x14ac:dyDescent="0.25">
      <c r="A80" s="46" t="s">
        <v>346</v>
      </c>
      <c r="B80" s="47" t="s">
        <v>338</v>
      </c>
      <c r="C80" s="62" t="s">
        <v>339</v>
      </c>
      <c r="D80" s="45" t="s">
        <v>111</v>
      </c>
      <c r="E80" s="45">
        <v>2023</v>
      </c>
      <c r="F80" s="45" t="s">
        <v>102</v>
      </c>
      <c r="G80" s="45">
        <v>2023</v>
      </c>
      <c r="H80" s="39" t="s">
        <v>102</v>
      </c>
      <c r="I80" s="40">
        <f>212.54340255/1000</f>
        <v>0.21254340254999998</v>
      </c>
      <c r="J80" s="39">
        <v>0</v>
      </c>
      <c r="K80" s="33" t="s">
        <v>102</v>
      </c>
      <c r="L80" s="39">
        <v>0</v>
      </c>
      <c r="M80" s="39">
        <v>0</v>
      </c>
      <c r="N80" s="39">
        <v>0</v>
      </c>
      <c r="O80" s="39">
        <v>0</v>
      </c>
      <c r="P80" s="40">
        <f t="shared" si="77"/>
        <v>1.3709755700000001</v>
      </c>
      <c r="Q80" s="40">
        <v>0</v>
      </c>
      <c r="R80" s="40">
        <v>0.30324457000000016</v>
      </c>
      <c r="S80" s="40">
        <v>1.067731</v>
      </c>
      <c r="T80" s="40">
        <v>0</v>
      </c>
      <c r="U80" s="41">
        <v>0</v>
      </c>
      <c r="V80" s="41">
        <v>0</v>
      </c>
      <c r="W80" s="39">
        <v>0</v>
      </c>
      <c r="X80" s="39">
        <v>0</v>
      </c>
      <c r="Y80" s="39" t="s">
        <v>102</v>
      </c>
      <c r="Z80" s="39">
        <f>1.645170684/1.2</f>
        <v>1.3709755700000001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  <c r="AG80" s="39">
        <v>0</v>
      </c>
      <c r="AH80" s="39">
        <v>0</v>
      </c>
      <c r="AI80" s="39" t="s">
        <v>102</v>
      </c>
      <c r="AJ80" s="39">
        <f>1370.97557/1000</f>
        <v>1.3709755700000001</v>
      </c>
      <c r="AK80" s="39">
        <v>0</v>
      </c>
      <c r="AL80" s="39">
        <v>0</v>
      </c>
      <c r="AM80" s="39" t="s">
        <v>102</v>
      </c>
      <c r="AN80" s="39">
        <f t="shared" si="80"/>
        <v>1.3709755700000001</v>
      </c>
      <c r="AO80" s="55" t="s">
        <v>374</v>
      </c>
      <c r="AP80" s="31"/>
      <c r="AQ80" s="31"/>
    </row>
    <row r="81" spans="1:43" ht="50.25" customHeight="1" x14ac:dyDescent="0.25">
      <c r="A81" s="46" t="s">
        <v>347</v>
      </c>
      <c r="B81" s="47" t="s">
        <v>340</v>
      </c>
      <c r="C81" s="62" t="s">
        <v>341</v>
      </c>
      <c r="D81" s="45" t="s">
        <v>111</v>
      </c>
      <c r="E81" s="45">
        <v>2023</v>
      </c>
      <c r="F81" s="45" t="s">
        <v>102</v>
      </c>
      <c r="G81" s="45">
        <v>2023</v>
      </c>
      <c r="H81" s="39" t="s">
        <v>102</v>
      </c>
      <c r="I81" s="40">
        <f>892.62987012987/1000</f>
        <v>0.89262987012987005</v>
      </c>
      <c r="J81" s="39">
        <v>0</v>
      </c>
      <c r="K81" s="33" t="s">
        <v>102</v>
      </c>
      <c r="L81" s="39">
        <v>0</v>
      </c>
      <c r="M81" s="39">
        <v>0</v>
      </c>
      <c r="N81" s="39">
        <v>0</v>
      </c>
      <c r="O81" s="39">
        <v>0</v>
      </c>
      <c r="P81" s="40">
        <f t="shared" si="77"/>
        <v>5.8230173999999995</v>
      </c>
      <c r="Q81" s="40">
        <v>0</v>
      </c>
      <c r="R81" s="40">
        <v>0</v>
      </c>
      <c r="S81" s="40">
        <v>5.8230173999999995</v>
      </c>
      <c r="T81" s="40">
        <v>0</v>
      </c>
      <c r="U81" s="41">
        <v>0</v>
      </c>
      <c r="V81" s="41">
        <v>0</v>
      </c>
      <c r="W81" s="39">
        <v>0</v>
      </c>
      <c r="X81" s="39">
        <v>0</v>
      </c>
      <c r="Y81" s="39" t="s">
        <v>102</v>
      </c>
      <c r="Z81" s="39">
        <f>6.98762088/1.2</f>
        <v>5.8230174000000003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  <c r="AG81" s="39">
        <v>0</v>
      </c>
      <c r="AH81" s="39">
        <v>0</v>
      </c>
      <c r="AI81" s="39" t="s">
        <v>102</v>
      </c>
      <c r="AJ81" s="39">
        <f>5823.0174/1000</f>
        <v>5.8230173999999995</v>
      </c>
      <c r="AK81" s="39">
        <v>0</v>
      </c>
      <c r="AL81" s="39">
        <v>0</v>
      </c>
      <c r="AM81" s="39" t="s">
        <v>102</v>
      </c>
      <c r="AN81" s="39">
        <f t="shared" si="80"/>
        <v>5.8230173999999995</v>
      </c>
      <c r="AO81" s="55" t="s">
        <v>374</v>
      </c>
      <c r="AP81" s="31"/>
      <c r="AQ81" s="31"/>
    </row>
    <row r="82" spans="1:43" ht="32.25" customHeight="1" x14ac:dyDescent="0.25">
      <c r="A82" s="42" t="s">
        <v>58</v>
      </c>
      <c r="B82" s="43" t="s">
        <v>59</v>
      </c>
      <c r="C82" s="44" t="s">
        <v>104</v>
      </c>
      <c r="D82" s="45" t="s">
        <v>102</v>
      </c>
      <c r="E82" s="56" t="s">
        <v>102</v>
      </c>
      <c r="F82" s="56" t="s">
        <v>102</v>
      </c>
      <c r="G82" s="56" t="s">
        <v>102</v>
      </c>
      <c r="H82" s="39">
        <f>SUM(H83:H87)</f>
        <v>0.69524140687013869</v>
      </c>
      <c r="I82" s="39">
        <f>SUM(I83:I87)</f>
        <v>3.3445312384096084</v>
      </c>
      <c r="J82" s="39">
        <f t="shared" ref="J82:AL82" si="88">SUM(J83:J85)</f>
        <v>0</v>
      </c>
      <c r="K82" s="33">
        <v>12.963469314067</v>
      </c>
      <c r="L82" s="40">
        <f t="shared" ref="L82:O82" si="89">SUM(L83:L87)</f>
        <v>1.3828848500000002</v>
      </c>
      <c r="M82" s="40">
        <f t="shared" si="89"/>
        <v>7.0016598174999993</v>
      </c>
      <c r="N82" s="40">
        <f t="shared" si="89"/>
        <v>4.5785246465670006</v>
      </c>
      <c r="O82" s="40">
        <f t="shared" si="89"/>
        <v>0</v>
      </c>
      <c r="P82" s="40">
        <f>SUM(P83:P87)</f>
        <v>28.186731210000001</v>
      </c>
      <c r="Q82" s="40">
        <f t="shared" ref="Q82:S82" si="90">SUM(Q83:Q87)</f>
        <v>1.2820060200000003</v>
      </c>
      <c r="R82" s="40">
        <f t="shared" si="90"/>
        <v>10.062044962639998</v>
      </c>
      <c r="S82" s="40">
        <f t="shared" si="90"/>
        <v>16.842680227359999</v>
      </c>
      <c r="T82" s="40">
        <f t="shared" ref="T82" si="91">SUM(T83:T86)</f>
        <v>0</v>
      </c>
      <c r="U82" s="41">
        <v>0</v>
      </c>
      <c r="V82" s="41">
        <v>0</v>
      </c>
      <c r="W82" s="39">
        <v>2.1040000000000001</v>
      </c>
      <c r="X82" s="39">
        <v>0</v>
      </c>
      <c r="Y82" s="39">
        <f t="shared" ref="Y82" si="92">SUM(Y83:Y86)</f>
        <v>0</v>
      </c>
      <c r="Z82" s="39">
        <f>24.948887712/1.2</f>
        <v>20.790739760000001</v>
      </c>
      <c r="AA82" s="39">
        <f t="shared" ref="AA82:AB82" si="93">SUM(AA83:AA85)</f>
        <v>0.28228400000000003</v>
      </c>
      <c r="AB82" s="39">
        <f t="shared" si="93"/>
        <v>0.28288484999999997</v>
      </c>
      <c r="AC82" s="39">
        <f t="shared" si="88"/>
        <v>9.0451758965670006</v>
      </c>
      <c r="AD82" s="39">
        <f t="shared" si="88"/>
        <v>3.9319854300000001</v>
      </c>
      <c r="AE82" s="39">
        <f>SUM(AE83:AE86)</f>
        <v>3.6360094175000004</v>
      </c>
      <c r="AF82" s="39">
        <f>SUM(AF83:AF86)</f>
        <v>3.18149383</v>
      </c>
      <c r="AG82" s="39">
        <f t="shared" si="88"/>
        <v>0</v>
      </c>
      <c r="AH82" s="39">
        <f t="shared" si="88"/>
        <v>0</v>
      </c>
      <c r="AI82" s="39">
        <f>SUM(AI83:AI87)</f>
        <v>0</v>
      </c>
      <c r="AJ82" s="39">
        <f>SUM(AJ83:AJ87)</f>
        <v>20.790739760000001</v>
      </c>
      <c r="AK82" s="39">
        <f t="shared" si="88"/>
        <v>0</v>
      </c>
      <c r="AL82" s="39">
        <f t="shared" si="88"/>
        <v>0</v>
      </c>
      <c r="AM82" s="39">
        <f t="shared" si="84"/>
        <v>12.681185314067001</v>
      </c>
      <c r="AN82" s="39">
        <f>AD82+AF82+AH82+AJ82+AL82</f>
        <v>27.904219019999999</v>
      </c>
      <c r="AO82" s="54"/>
      <c r="AP82" s="31"/>
      <c r="AQ82" s="31"/>
    </row>
    <row r="83" spans="1:43" ht="69" customHeight="1" x14ac:dyDescent="0.25">
      <c r="A83" s="46" t="s">
        <v>120</v>
      </c>
      <c r="B83" s="47" t="s">
        <v>147</v>
      </c>
      <c r="C83" s="48" t="s">
        <v>176</v>
      </c>
      <c r="D83" s="45" t="s">
        <v>259</v>
      </c>
      <c r="E83" s="45">
        <v>2020</v>
      </c>
      <c r="F83" s="45">
        <v>2020</v>
      </c>
      <c r="G83" s="45">
        <v>2020</v>
      </c>
      <c r="H83" s="39">
        <v>6.2821764662673585E-2</v>
      </c>
      <c r="I83" s="39">
        <v>6.2821764662673585E-2</v>
      </c>
      <c r="J83" s="40">
        <v>0</v>
      </c>
      <c r="K83" s="33">
        <v>0.50724301458600007</v>
      </c>
      <c r="L83" s="39">
        <v>0</v>
      </c>
      <c r="M83" s="39">
        <v>0.16861056999999999</v>
      </c>
      <c r="N83" s="39">
        <v>0.33863244458600006</v>
      </c>
      <c r="O83" s="39">
        <v>0</v>
      </c>
      <c r="P83" s="40">
        <f t="shared" si="77"/>
        <v>0.46189751000000001</v>
      </c>
      <c r="Q83" s="40">
        <v>0</v>
      </c>
      <c r="R83" s="40">
        <v>0.16861056999999999</v>
      </c>
      <c r="S83" s="40">
        <v>0.29328694</v>
      </c>
      <c r="T83" s="40">
        <f>O83</f>
        <v>0</v>
      </c>
      <c r="U83" s="41">
        <v>0</v>
      </c>
      <c r="V83" s="41">
        <v>0</v>
      </c>
      <c r="W83" s="39" t="s">
        <v>102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0.50724301458600007</v>
      </c>
      <c r="AD83" s="39">
        <v>0.46189751000000001</v>
      </c>
      <c r="AE83" s="39">
        <v>0</v>
      </c>
      <c r="AF83" s="39">
        <f t="shared" si="60"/>
        <v>0</v>
      </c>
      <c r="AG83" s="39">
        <v>0</v>
      </c>
      <c r="AH83" s="39">
        <v>0</v>
      </c>
      <c r="AI83" s="39">
        <v>0</v>
      </c>
      <c r="AJ83" s="39">
        <v>0</v>
      </c>
      <c r="AK83" s="39">
        <v>0</v>
      </c>
      <c r="AL83" s="39">
        <v>0</v>
      </c>
      <c r="AM83" s="39">
        <f t="shared" si="84"/>
        <v>0.50724301458600007</v>
      </c>
      <c r="AN83" s="39">
        <f t="shared" si="80"/>
        <v>0.46189751000000001</v>
      </c>
      <c r="AO83" s="47" t="s">
        <v>375</v>
      </c>
      <c r="AP83" s="31"/>
      <c r="AQ83" s="31"/>
    </row>
    <row r="84" spans="1:43" ht="69" customHeight="1" x14ac:dyDescent="0.25">
      <c r="A84" s="46" t="s">
        <v>121</v>
      </c>
      <c r="B84" s="47" t="s">
        <v>316</v>
      </c>
      <c r="C84" s="60" t="s">
        <v>177</v>
      </c>
      <c r="D84" s="45" t="s">
        <v>260</v>
      </c>
      <c r="E84" s="45">
        <v>2021</v>
      </c>
      <c r="F84" s="45">
        <v>2022</v>
      </c>
      <c r="G84" s="45">
        <v>2023</v>
      </c>
      <c r="H84" s="39">
        <v>0.1138981</v>
      </c>
      <c r="I84" s="39">
        <f>1330.04274920263/1000</f>
        <v>1.3300427492026299</v>
      </c>
      <c r="J84" s="40">
        <v>0</v>
      </c>
      <c r="K84" s="33">
        <v>4.1364000000000001</v>
      </c>
      <c r="L84" s="39">
        <v>0.9</v>
      </c>
      <c r="M84" s="39">
        <v>3.2360000000000002</v>
      </c>
      <c r="N84" s="39">
        <v>0</v>
      </c>
      <c r="O84" s="39">
        <v>0</v>
      </c>
      <c r="P84" s="40">
        <f>SUM(Q84:T84)</f>
        <v>11.41438145</v>
      </c>
      <c r="Q84" s="40">
        <v>0.49912117</v>
      </c>
      <c r="R84" s="40">
        <v>4.9558860823600002</v>
      </c>
      <c r="S84" s="40">
        <v>5.9593741976399999</v>
      </c>
      <c r="T84" s="40">
        <v>0</v>
      </c>
      <c r="U84" s="41">
        <v>0</v>
      </c>
      <c r="V84" s="41">
        <v>0</v>
      </c>
      <c r="W84" s="39">
        <v>2.1040000000000001</v>
      </c>
      <c r="X84" s="39">
        <v>0</v>
      </c>
      <c r="Y84" s="39">
        <v>0</v>
      </c>
      <c r="Z84" s="39">
        <f>13.098312336/1.2</f>
        <v>10.91526028</v>
      </c>
      <c r="AA84" s="39">
        <v>0</v>
      </c>
      <c r="AB84" s="39">
        <v>0</v>
      </c>
      <c r="AC84" s="39">
        <v>3.2364000000000002</v>
      </c>
      <c r="AD84" s="39">
        <v>0</v>
      </c>
      <c r="AE84" s="39">
        <v>0.90000000000000013</v>
      </c>
      <c r="AF84" s="39">
        <v>0.49912117</v>
      </c>
      <c r="AG84" s="39">
        <v>0</v>
      </c>
      <c r="AH84" s="39">
        <v>0</v>
      </c>
      <c r="AI84" s="39" t="s">
        <v>102</v>
      </c>
      <c r="AJ84" s="39">
        <f>10915.26028/1000</f>
        <v>10.91526028</v>
      </c>
      <c r="AK84" s="39">
        <v>0</v>
      </c>
      <c r="AL84" s="39">
        <v>0</v>
      </c>
      <c r="AM84" s="39" t="s">
        <v>102</v>
      </c>
      <c r="AN84" s="39">
        <f>AD84+AF84+AH84+AJ84+AL84</f>
        <v>11.41438145</v>
      </c>
      <c r="AO84" s="47" t="s">
        <v>375</v>
      </c>
      <c r="AP84" s="31"/>
      <c r="AQ84" s="31"/>
    </row>
    <row r="85" spans="1:43" ht="68.25" customHeight="1" x14ac:dyDescent="0.25">
      <c r="A85" s="46" t="s">
        <v>202</v>
      </c>
      <c r="B85" s="47" t="s">
        <v>263</v>
      </c>
      <c r="C85" s="48" t="s">
        <v>203</v>
      </c>
      <c r="D85" s="45" t="s">
        <v>259</v>
      </c>
      <c r="E85" s="45">
        <v>2019</v>
      </c>
      <c r="F85" s="45">
        <v>2020</v>
      </c>
      <c r="G85" s="45">
        <v>2020</v>
      </c>
      <c r="H85" s="39">
        <v>0.51852154220746505</v>
      </c>
      <c r="I85" s="39">
        <v>0.51852154220746505</v>
      </c>
      <c r="J85" s="39">
        <v>0</v>
      </c>
      <c r="K85" s="33">
        <v>5.5838168819809999</v>
      </c>
      <c r="L85" s="39">
        <v>0.2828848500000003</v>
      </c>
      <c r="M85" s="39">
        <v>1.0610398299999999</v>
      </c>
      <c r="N85" s="39">
        <v>4.2398922019810001</v>
      </c>
      <c r="O85" s="39">
        <v>0</v>
      </c>
      <c r="P85" s="40">
        <f t="shared" si="77"/>
        <v>3.7529727700000004</v>
      </c>
      <c r="Q85" s="40">
        <v>0.2828848500000003</v>
      </c>
      <c r="R85" s="40">
        <v>1.0610398299999999</v>
      </c>
      <c r="S85" s="40">
        <v>2.4090480900000002</v>
      </c>
      <c r="T85" s="40">
        <f>O85</f>
        <v>0</v>
      </c>
      <c r="U85" s="41">
        <v>0</v>
      </c>
      <c r="V85" s="41">
        <v>0</v>
      </c>
      <c r="W85" s="39" t="s">
        <v>102</v>
      </c>
      <c r="X85" s="39">
        <v>0</v>
      </c>
      <c r="Y85" s="39">
        <v>0</v>
      </c>
      <c r="Z85" s="39">
        <v>0</v>
      </c>
      <c r="AA85" s="39">
        <v>0.28228400000000003</v>
      </c>
      <c r="AB85" s="39">
        <v>0.28288484999999997</v>
      </c>
      <c r="AC85" s="39">
        <v>5.3015328819810001</v>
      </c>
      <c r="AD85" s="39">
        <v>3.4700879200000001</v>
      </c>
      <c r="AE85" s="39">
        <v>0</v>
      </c>
      <c r="AF85" s="39">
        <v>0</v>
      </c>
      <c r="AG85" s="39">
        <v>0</v>
      </c>
      <c r="AH85" s="39">
        <v>0</v>
      </c>
      <c r="AI85" s="39">
        <v>0</v>
      </c>
      <c r="AJ85" s="39">
        <v>0</v>
      </c>
      <c r="AK85" s="39">
        <v>0</v>
      </c>
      <c r="AL85" s="39">
        <v>0</v>
      </c>
      <c r="AM85" s="39">
        <f t="shared" si="84"/>
        <v>5.3015328819810001</v>
      </c>
      <c r="AN85" s="39">
        <f t="shared" si="80"/>
        <v>3.4700879200000001</v>
      </c>
      <c r="AO85" s="47" t="s">
        <v>375</v>
      </c>
      <c r="AP85" s="31"/>
      <c r="AQ85" s="31"/>
    </row>
    <row r="86" spans="1:43" ht="69" customHeight="1" x14ac:dyDescent="0.25">
      <c r="A86" s="46" t="s">
        <v>231</v>
      </c>
      <c r="B86" s="47" t="s">
        <v>232</v>
      </c>
      <c r="C86" s="60" t="s">
        <v>233</v>
      </c>
      <c r="D86" s="45" t="s">
        <v>111</v>
      </c>
      <c r="E86" s="45">
        <v>2021</v>
      </c>
      <c r="F86" s="45" t="s">
        <v>102</v>
      </c>
      <c r="G86" s="45">
        <v>2021</v>
      </c>
      <c r="H86" s="39">
        <v>0</v>
      </c>
      <c r="I86" s="39">
        <f t="shared" ref="I86" si="94">H86</f>
        <v>0</v>
      </c>
      <c r="J86" s="40">
        <v>0</v>
      </c>
      <c r="K86" s="33">
        <v>2.7360094175</v>
      </c>
      <c r="L86" s="39">
        <v>0.2</v>
      </c>
      <c r="M86" s="39">
        <v>2.5360094174999999</v>
      </c>
      <c r="N86" s="39">
        <v>0</v>
      </c>
      <c r="O86" s="39">
        <v>0</v>
      </c>
      <c r="P86" s="40">
        <f t="shared" si="77"/>
        <v>2.6820000000000004</v>
      </c>
      <c r="Q86" s="40">
        <v>0.2</v>
      </c>
      <c r="R86" s="40">
        <v>2.4820000000000002</v>
      </c>
      <c r="S86" s="40">
        <v>0</v>
      </c>
      <c r="T86" s="40">
        <v>0</v>
      </c>
      <c r="U86" s="41">
        <v>0</v>
      </c>
      <c r="V86" s="41">
        <v>0</v>
      </c>
      <c r="W86" s="39">
        <v>0</v>
      </c>
      <c r="X86" s="39">
        <v>0</v>
      </c>
      <c r="Y86" s="39">
        <f t="shared" ref="Y86" si="95">W86</f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f t="shared" ref="AD86" si="96">AC86</f>
        <v>0</v>
      </c>
      <c r="AE86" s="39">
        <v>2.7360094175</v>
      </c>
      <c r="AF86" s="39">
        <v>2.68237266</v>
      </c>
      <c r="AG86" s="39">
        <v>0</v>
      </c>
      <c r="AH86" s="39">
        <f>AG86</f>
        <v>0</v>
      </c>
      <c r="AI86" s="39">
        <v>0</v>
      </c>
      <c r="AJ86" s="39">
        <v>0</v>
      </c>
      <c r="AK86" s="39">
        <v>0</v>
      </c>
      <c r="AL86" s="39">
        <v>0</v>
      </c>
      <c r="AM86" s="39">
        <f t="shared" si="84"/>
        <v>2.7360094175</v>
      </c>
      <c r="AN86" s="39">
        <f t="shared" si="80"/>
        <v>2.68237266</v>
      </c>
      <c r="AO86" s="47" t="s">
        <v>375</v>
      </c>
      <c r="AP86" s="31"/>
      <c r="AQ86" s="31"/>
    </row>
    <row r="87" spans="1:43" ht="69" customHeight="1" x14ac:dyDescent="0.25">
      <c r="A87" s="46" t="s">
        <v>358</v>
      </c>
      <c r="B87" s="47" t="s">
        <v>348</v>
      </c>
      <c r="C87" s="62" t="s">
        <v>349</v>
      </c>
      <c r="D87" s="45" t="s">
        <v>260</v>
      </c>
      <c r="E87" s="45">
        <v>2023</v>
      </c>
      <c r="F87" s="45" t="s">
        <v>102</v>
      </c>
      <c r="G87" s="45">
        <v>2023</v>
      </c>
      <c r="H87" s="39" t="s">
        <v>102</v>
      </c>
      <c r="I87" s="39">
        <f>1433.14518233684/1000</f>
        <v>1.43314518233684</v>
      </c>
      <c r="J87" s="40">
        <v>0</v>
      </c>
      <c r="K87" s="33" t="s">
        <v>102</v>
      </c>
      <c r="L87" s="39" t="s">
        <v>102</v>
      </c>
      <c r="M87" s="39" t="s">
        <v>102</v>
      </c>
      <c r="N87" s="39" t="s">
        <v>102</v>
      </c>
      <c r="O87" s="39" t="s">
        <v>102</v>
      </c>
      <c r="P87" s="40">
        <f t="shared" si="77"/>
        <v>9.8754794799999992</v>
      </c>
      <c r="Q87" s="40">
        <v>0.3</v>
      </c>
      <c r="R87" s="40">
        <v>1.3945084802799996</v>
      </c>
      <c r="S87" s="40">
        <v>8.1809709997199995</v>
      </c>
      <c r="T87" s="40">
        <v>0</v>
      </c>
      <c r="U87" s="41">
        <v>0</v>
      </c>
      <c r="V87" s="41">
        <v>0</v>
      </c>
      <c r="W87" s="39">
        <v>0</v>
      </c>
      <c r="X87" s="39">
        <v>0</v>
      </c>
      <c r="Y87" s="39" t="s">
        <v>102</v>
      </c>
      <c r="Z87" s="39">
        <f>11.850575376/1.2</f>
        <v>9.875479480000001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  <c r="AG87" s="39">
        <v>0</v>
      </c>
      <c r="AH87" s="39">
        <v>0</v>
      </c>
      <c r="AI87" s="39" t="s">
        <v>102</v>
      </c>
      <c r="AJ87" s="39">
        <f>9875.47948/1000</f>
        <v>9.8754794799999992</v>
      </c>
      <c r="AK87" s="39">
        <v>0</v>
      </c>
      <c r="AL87" s="39">
        <v>0</v>
      </c>
      <c r="AM87" s="39" t="s">
        <v>102</v>
      </c>
      <c r="AN87" s="39">
        <f t="shared" si="80"/>
        <v>9.8754794799999992</v>
      </c>
      <c r="AO87" s="57" t="s">
        <v>375</v>
      </c>
      <c r="AP87" s="31"/>
      <c r="AQ87" s="31"/>
    </row>
    <row r="88" spans="1:43" ht="31.5" x14ac:dyDescent="0.25">
      <c r="A88" s="42" t="s">
        <v>60</v>
      </c>
      <c r="B88" s="43" t="s">
        <v>61</v>
      </c>
      <c r="C88" s="44" t="s">
        <v>104</v>
      </c>
      <c r="D88" s="45" t="s">
        <v>102</v>
      </c>
      <c r="E88" s="45" t="s">
        <v>102</v>
      </c>
      <c r="F88" s="45" t="s">
        <v>102</v>
      </c>
      <c r="G88" s="45" t="s">
        <v>102</v>
      </c>
      <c r="H88" s="39">
        <f>SUM(H89,H100)</f>
        <v>6.8875830010850336</v>
      </c>
      <c r="I88" s="39">
        <f t="shared" ref="I88:AN88" si="97">SUM(I89,I100)</f>
        <v>8.3522375515081269</v>
      </c>
      <c r="J88" s="39">
        <f t="shared" si="97"/>
        <v>0</v>
      </c>
      <c r="K88" s="33">
        <v>58.050175248928177</v>
      </c>
      <c r="L88" s="39">
        <f t="shared" si="97"/>
        <v>2.1136276109749019</v>
      </c>
      <c r="M88" s="39">
        <f t="shared" si="97"/>
        <v>18.103482864406409</v>
      </c>
      <c r="N88" s="39">
        <f t="shared" si="97"/>
        <v>37.834481272603931</v>
      </c>
      <c r="O88" s="39">
        <f t="shared" si="97"/>
        <v>0</v>
      </c>
      <c r="P88" s="39">
        <f t="shared" si="97"/>
        <v>79.412905560000013</v>
      </c>
      <c r="Q88" s="39">
        <f t="shared" si="97"/>
        <v>3.3559729999999997</v>
      </c>
      <c r="R88" s="39">
        <f t="shared" si="97"/>
        <v>26.53349565081</v>
      </c>
      <c r="S88" s="39">
        <f t="shared" si="97"/>
        <v>49.523436909190004</v>
      </c>
      <c r="T88" s="39">
        <f t="shared" si="97"/>
        <v>0</v>
      </c>
      <c r="U88" s="39">
        <f t="shared" si="97"/>
        <v>0</v>
      </c>
      <c r="V88" s="39">
        <f t="shared" si="97"/>
        <v>0</v>
      </c>
      <c r="W88" s="39">
        <f t="shared" si="97"/>
        <v>1.2174489693433816</v>
      </c>
      <c r="X88" s="39">
        <f>11.9095387173423/1.2</f>
        <v>9.9246155977852517</v>
      </c>
      <c r="Y88" s="39">
        <f t="shared" si="97"/>
        <v>7.3764357443743362</v>
      </c>
      <c r="Z88" s="39">
        <f>27.026153016/1.2</f>
        <v>22.521794180000001</v>
      </c>
      <c r="AA88" s="39">
        <f t="shared" si="97"/>
        <v>0</v>
      </c>
      <c r="AB88" s="39">
        <f t="shared" si="97"/>
        <v>0</v>
      </c>
      <c r="AC88" s="39">
        <f t="shared" si="97"/>
        <v>19.25550350094294</v>
      </c>
      <c r="AD88" s="39">
        <f t="shared" si="97"/>
        <v>20.763345059999999</v>
      </c>
      <c r="AE88" s="39">
        <f t="shared" si="97"/>
        <v>9.7110800000000008</v>
      </c>
      <c r="AF88" s="39">
        <f t="shared" si="97"/>
        <v>9.5609570099999992</v>
      </c>
      <c r="AG88" s="39">
        <f t="shared" si="97"/>
        <v>19.158976150200001</v>
      </c>
      <c r="AH88" s="39">
        <f t="shared" si="97"/>
        <v>19.35791038</v>
      </c>
      <c r="AI88" s="39">
        <f t="shared" si="97"/>
        <v>9.9246155977852339</v>
      </c>
      <c r="AJ88" s="39">
        <f t="shared" si="97"/>
        <v>29.730231660000001</v>
      </c>
      <c r="AK88" s="39">
        <f t="shared" si="97"/>
        <v>0</v>
      </c>
      <c r="AL88" s="39">
        <f t="shared" si="97"/>
        <v>0</v>
      </c>
      <c r="AM88" s="39">
        <f t="shared" si="97"/>
        <v>58.05017524892817</v>
      </c>
      <c r="AN88" s="39">
        <f t="shared" si="97"/>
        <v>59.268107049999998</v>
      </c>
      <c r="AO88" s="45"/>
      <c r="AP88" s="31"/>
      <c r="AQ88" s="31"/>
    </row>
    <row r="89" spans="1:43" ht="15.75" customHeight="1" x14ac:dyDescent="0.25">
      <c r="A89" s="42" t="s">
        <v>62</v>
      </c>
      <c r="B89" s="43" t="s">
        <v>63</v>
      </c>
      <c r="C89" s="44" t="s">
        <v>104</v>
      </c>
      <c r="D89" s="45" t="s">
        <v>102</v>
      </c>
      <c r="E89" s="45" t="s">
        <v>102</v>
      </c>
      <c r="F89" s="45" t="s">
        <v>102</v>
      </c>
      <c r="G89" s="45" t="s">
        <v>102</v>
      </c>
      <c r="H89" s="39">
        <f>SUM(H90:H99)</f>
        <v>4.8553701498034565</v>
      </c>
      <c r="I89" s="39">
        <f>SUM(I90:I99)</f>
        <v>6.3200247002265497</v>
      </c>
      <c r="J89" s="39">
        <f t="shared" ref="J89:AN89" si="98">SUM(J90:J95)</f>
        <v>0</v>
      </c>
      <c r="K89" s="33">
        <v>38.891199098728173</v>
      </c>
      <c r="L89" s="39">
        <f t="shared" ref="L89:S89" si="99">SUM(L90:L99)</f>
        <v>1.4543416109749021</v>
      </c>
      <c r="M89" s="39">
        <f t="shared" si="99"/>
        <v>11.607349714206411</v>
      </c>
      <c r="N89" s="39">
        <f t="shared" si="99"/>
        <v>25.83092427260393</v>
      </c>
      <c r="O89" s="39">
        <f t="shared" si="99"/>
        <v>0</v>
      </c>
      <c r="P89" s="39">
        <f t="shared" si="99"/>
        <v>57.595761540000005</v>
      </c>
      <c r="Q89" s="39">
        <f t="shared" si="99"/>
        <v>2.5005419999999994</v>
      </c>
      <c r="R89" s="39">
        <f t="shared" si="99"/>
        <v>19.04616093081</v>
      </c>
      <c r="S89" s="39">
        <f t="shared" si="99"/>
        <v>36.049058609190006</v>
      </c>
      <c r="T89" s="39">
        <f t="shared" si="98"/>
        <v>0</v>
      </c>
      <c r="U89" s="39">
        <f t="shared" si="98"/>
        <v>0</v>
      </c>
      <c r="V89" s="39">
        <f t="shared" si="98"/>
        <v>0</v>
      </c>
      <c r="W89" s="39">
        <f t="shared" si="98"/>
        <v>1.2174489693433816</v>
      </c>
      <c r="X89" s="39">
        <f>11.9095387173423/1.2</f>
        <v>9.9246155977852517</v>
      </c>
      <c r="Y89" s="39">
        <f t="shared" si="98"/>
        <v>5.3442228930927573</v>
      </c>
      <c r="Z89" s="39">
        <f>27.026153016/1.2</f>
        <v>22.521794180000001</v>
      </c>
      <c r="AA89" s="39">
        <f t="shared" si="98"/>
        <v>0</v>
      </c>
      <c r="AB89" s="39">
        <f t="shared" si="98"/>
        <v>0</v>
      </c>
      <c r="AC89" s="39">
        <f t="shared" si="98"/>
        <v>19.25550350094294</v>
      </c>
      <c r="AD89" s="39">
        <f t="shared" si="98"/>
        <v>18.304111419999998</v>
      </c>
      <c r="AE89" s="39">
        <f t="shared" si="98"/>
        <v>9.7110800000000008</v>
      </c>
      <c r="AF89" s="39">
        <f t="shared" si="98"/>
        <v>9.5609570099999992</v>
      </c>
      <c r="AG89" s="39">
        <f t="shared" si="98"/>
        <v>0</v>
      </c>
      <c r="AH89" s="39">
        <f t="shared" si="98"/>
        <v>0</v>
      </c>
      <c r="AI89" s="39">
        <f>SUM(AI90:AI99)</f>
        <v>9.9246155977852339</v>
      </c>
      <c r="AJ89" s="39">
        <f>SUM(AJ90:AJ99)</f>
        <v>29.730231660000001</v>
      </c>
      <c r="AK89" s="39">
        <f t="shared" si="98"/>
        <v>0</v>
      </c>
      <c r="AL89" s="39">
        <f t="shared" si="98"/>
        <v>0</v>
      </c>
      <c r="AM89" s="39">
        <f t="shared" si="98"/>
        <v>38.891199098728173</v>
      </c>
      <c r="AN89" s="39">
        <f t="shared" si="98"/>
        <v>37.450963029999997</v>
      </c>
      <c r="AO89" s="45"/>
      <c r="AP89" s="31"/>
      <c r="AQ89" s="31"/>
    </row>
    <row r="90" spans="1:43" ht="66" customHeight="1" x14ac:dyDescent="0.25">
      <c r="A90" s="46" t="s">
        <v>149</v>
      </c>
      <c r="B90" s="47" t="s">
        <v>148</v>
      </c>
      <c r="C90" s="58" t="s">
        <v>178</v>
      </c>
      <c r="D90" s="45" t="s">
        <v>259</v>
      </c>
      <c r="E90" s="45">
        <v>2020</v>
      </c>
      <c r="F90" s="45">
        <v>2020</v>
      </c>
      <c r="G90" s="45">
        <v>2020</v>
      </c>
      <c r="H90" s="39">
        <v>1.0022045854216919</v>
      </c>
      <c r="I90" s="39">
        <f>1.20264550250603/1.2</f>
        <v>1.0022045854216919</v>
      </c>
      <c r="J90" s="39">
        <v>0</v>
      </c>
      <c r="K90" s="33">
        <v>7.7171541423146079</v>
      </c>
      <c r="L90" s="39">
        <v>0.19700000000000001</v>
      </c>
      <c r="M90" s="39">
        <v>2.4580000000000002</v>
      </c>
      <c r="N90" s="39">
        <v>5.0629999999999997</v>
      </c>
      <c r="O90" s="39">
        <v>0</v>
      </c>
      <c r="P90" s="40">
        <f t="shared" ref="P90:P105" si="100">SUM(Q90:T90)</f>
        <v>7.9765642200000002</v>
      </c>
      <c r="Q90" s="40">
        <v>0.234762</v>
      </c>
      <c r="R90" s="40">
        <v>2.5587992100000001</v>
      </c>
      <c r="S90" s="40">
        <v>5.1830030100000002</v>
      </c>
      <c r="T90" s="40">
        <f>O90</f>
        <v>0</v>
      </c>
      <c r="U90" s="41">
        <v>0</v>
      </c>
      <c r="V90" s="41">
        <v>0</v>
      </c>
      <c r="W90" s="39" t="s">
        <v>102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7.7171541423146079</v>
      </c>
      <c r="AD90" s="39">
        <v>7.9765642199999993</v>
      </c>
      <c r="AE90" s="39">
        <v>0</v>
      </c>
      <c r="AF90" s="39">
        <v>0</v>
      </c>
      <c r="AG90" s="39">
        <v>0</v>
      </c>
      <c r="AH90" s="39">
        <v>0</v>
      </c>
      <c r="AI90" s="39">
        <v>0</v>
      </c>
      <c r="AJ90" s="39">
        <v>0</v>
      </c>
      <c r="AK90" s="39">
        <v>0</v>
      </c>
      <c r="AL90" s="39">
        <v>0</v>
      </c>
      <c r="AM90" s="39">
        <f t="shared" si="84"/>
        <v>7.7171541423146079</v>
      </c>
      <c r="AN90" s="39">
        <f t="shared" si="80"/>
        <v>7.9765642199999993</v>
      </c>
      <c r="AO90" s="47" t="s">
        <v>374</v>
      </c>
      <c r="AP90" s="31"/>
      <c r="AQ90" s="31"/>
    </row>
    <row r="91" spans="1:43" ht="77.25" customHeight="1" x14ac:dyDescent="0.25">
      <c r="A91" s="46" t="s">
        <v>151</v>
      </c>
      <c r="B91" s="47" t="s">
        <v>150</v>
      </c>
      <c r="C91" s="58" t="s">
        <v>179</v>
      </c>
      <c r="D91" s="45" t="s">
        <v>259</v>
      </c>
      <c r="E91" s="45">
        <v>2020</v>
      </c>
      <c r="F91" s="45">
        <v>2020</v>
      </c>
      <c r="G91" s="45">
        <v>2020</v>
      </c>
      <c r="H91" s="39">
        <v>0.76390978071669091</v>
      </c>
      <c r="I91" s="39">
        <f>0.916691736860029/1.2</f>
        <v>0.76390978071669091</v>
      </c>
      <c r="J91" s="39">
        <v>0</v>
      </c>
      <c r="K91" s="33">
        <v>5.328178292115</v>
      </c>
      <c r="L91" s="39">
        <v>0.19700000000000001</v>
      </c>
      <c r="M91" s="39">
        <v>1.274</v>
      </c>
      <c r="N91" s="39">
        <v>3.8570000000000002</v>
      </c>
      <c r="O91" s="39">
        <v>0</v>
      </c>
      <c r="P91" s="40">
        <f t="shared" si="100"/>
        <v>4.1773492000000001</v>
      </c>
      <c r="Q91" s="40">
        <v>0.14416799999999999</v>
      </c>
      <c r="R91" s="40">
        <v>1.0073390800000002</v>
      </c>
      <c r="S91" s="40">
        <v>3.0258421200000001</v>
      </c>
      <c r="T91" s="40">
        <f>O91</f>
        <v>0</v>
      </c>
      <c r="U91" s="41">
        <v>0</v>
      </c>
      <c r="V91" s="41">
        <v>0</v>
      </c>
      <c r="W91" s="39" t="s">
        <v>102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5.328178292115</v>
      </c>
      <c r="AD91" s="39">
        <v>4.1773492000000001</v>
      </c>
      <c r="AE91" s="39">
        <v>0</v>
      </c>
      <c r="AF91" s="39">
        <f t="shared" si="60"/>
        <v>0</v>
      </c>
      <c r="AG91" s="39">
        <v>0</v>
      </c>
      <c r="AH91" s="39">
        <v>0</v>
      </c>
      <c r="AI91" s="39">
        <v>0</v>
      </c>
      <c r="AJ91" s="39">
        <v>0</v>
      </c>
      <c r="AK91" s="39">
        <v>0</v>
      </c>
      <c r="AL91" s="39">
        <v>0</v>
      </c>
      <c r="AM91" s="39">
        <f t="shared" si="84"/>
        <v>5.328178292115</v>
      </c>
      <c r="AN91" s="39">
        <f t="shared" si="80"/>
        <v>4.1773492000000001</v>
      </c>
      <c r="AO91" s="47" t="s">
        <v>374</v>
      </c>
      <c r="AP91" s="31"/>
      <c r="AQ91" s="31"/>
    </row>
    <row r="92" spans="1:43" ht="70.5" customHeight="1" x14ac:dyDescent="0.25">
      <c r="A92" s="46" t="s">
        <v>152</v>
      </c>
      <c r="B92" s="47" t="s">
        <v>153</v>
      </c>
      <c r="C92" s="58" t="s">
        <v>180</v>
      </c>
      <c r="D92" s="45" t="s">
        <v>259</v>
      </c>
      <c r="E92" s="45">
        <v>2020</v>
      </c>
      <c r="F92" s="45">
        <v>2020</v>
      </c>
      <c r="G92" s="45">
        <v>2020</v>
      </c>
      <c r="H92" s="39">
        <v>0.92206943432169175</v>
      </c>
      <c r="I92" s="39">
        <f>1.10648332118603/1.2</f>
        <v>0.92206943432169175</v>
      </c>
      <c r="J92" s="39">
        <v>0</v>
      </c>
      <c r="K92" s="33">
        <v>6.2101710665133334</v>
      </c>
      <c r="L92" s="39">
        <v>0.19700000000000001</v>
      </c>
      <c r="M92" s="39">
        <v>1.5649999999999999</v>
      </c>
      <c r="N92" s="39">
        <v>4.4489999999999998</v>
      </c>
      <c r="O92" s="39">
        <v>0</v>
      </c>
      <c r="P92" s="40">
        <f t="shared" si="100"/>
        <v>6.1501980000000005</v>
      </c>
      <c r="Q92" s="40">
        <v>0.186949</v>
      </c>
      <c r="R92" s="40">
        <v>1.5078474599999998</v>
      </c>
      <c r="S92" s="40">
        <v>4.4554015400000004</v>
      </c>
      <c r="T92" s="40">
        <f>O92</f>
        <v>0</v>
      </c>
      <c r="U92" s="41">
        <v>0</v>
      </c>
      <c r="V92" s="41">
        <v>0</v>
      </c>
      <c r="W92" s="39" t="s">
        <v>102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6.2101710665133334</v>
      </c>
      <c r="AD92" s="39">
        <v>6.1501980000000005</v>
      </c>
      <c r="AE92" s="39">
        <v>0</v>
      </c>
      <c r="AF92" s="39">
        <v>0</v>
      </c>
      <c r="AG92" s="39">
        <v>0</v>
      </c>
      <c r="AH92" s="39">
        <v>0</v>
      </c>
      <c r="AI92" s="39">
        <v>0</v>
      </c>
      <c r="AJ92" s="39">
        <v>0</v>
      </c>
      <c r="AK92" s="39">
        <v>0</v>
      </c>
      <c r="AL92" s="39">
        <v>0</v>
      </c>
      <c r="AM92" s="39">
        <f t="shared" si="84"/>
        <v>6.2101710665133334</v>
      </c>
      <c r="AN92" s="39">
        <f t="shared" si="80"/>
        <v>6.1501980000000005</v>
      </c>
      <c r="AO92" s="47" t="s">
        <v>374</v>
      </c>
      <c r="AP92" s="31"/>
      <c r="AQ92" s="31"/>
    </row>
    <row r="93" spans="1:43" ht="69" customHeight="1" x14ac:dyDescent="0.25">
      <c r="A93" s="46" t="s">
        <v>155</v>
      </c>
      <c r="B93" s="47" t="s">
        <v>154</v>
      </c>
      <c r="C93" s="58" t="s">
        <v>181</v>
      </c>
      <c r="D93" s="45" t="s">
        <v>111</v>
      </c>
      <c r="E93" s="45">
        <v>2023</v>
      </c>
      <c r="F93" s="45">
        <v>2023</v>
      </c>
      <c r="G93" s="45">
        <v>2023</v>
      </c>
      <c r="H93" s="39">
        <v>0.59288439904919088</v>
      </c>
      <c r="I93" s="39">
        <f>398.645149861686/1000</f>
        <v>0.39864514986168598</v>
      </c>
      <c r="J93" s="39">
        <v>0</v>
      </c>
      <c r="K93" s="33">
        <v>5.1732771037416674</v>
      </c>
      <c r="L93" s="39">
        <v>0.223170805487451</v>
      </c>
      <c r="M93" s="39">
        <v>1.51331724931389</v>
      </c>
      <c r="N93" s="39">
        <v>3.4367890489403301</v>
      </c>
      <c r="O93" s="39">
        <v>0</v>
      </c>
      <c r="P93" s="40">
        <f t="shared" si="100"/>
        <v>4.1193596100000001</v>
      </c>
      <c r="Q93" s="40">
        <v>0.29499999999999998</v>
      </c>
      <c r="R93" s="40">
        <v>1.3956552686900001</v>
      </c>
      <c r="S93" s="40">
        <v>2.42870434131</v>
      </c>
      <c r="T93" s="40">
        <f>O93</f>
        <v>0</v>
      </c>
      <c r="U93" s="41">
        <v>0</v>
      </c>
      <c r="V93" s="41">
        <v>0</v>
      </c>
      <c r="W93" s="39">
        <v>0.59288439904919088</v>
      </c>
      <c r="X93" s="39">
        <f>6.20793252449/1.2</f>
        <v>5.1732771037416674</v>
      </c>
      <c r="Y93" s="39">
        <f>W93</f>
        <v>0.59288439904919088</v>
      </c>
      <c r="Z93" s="39">
        <f>4.943231532/1.2</f>
        <v>4.1193596100000009</v>
      </c>
      <c r="AA93" s="39">
        <v>0</v>
      </c>
      <c r="AB93" s="39">
        <v>0</v>
      </c>
      <c r="AC93" s="39">
        <v>0</v>
      </c>
      <c r="AD93" s="39">
        <f t="shared" si="59"/>
        <v>0</v>
      </c>
      <c r="AE93" s="39">
        <f t="shared" si="60"/>
        <v>0</v>
      </c>
      <c r="AF93" s="39">
        <f t="shared" si="60"/>
        <v>0</v>
      </c>
      <c r="AG93" s="39">
        <v>0</v>
      </c>
      <c r="AH93" s="39">
        <v>0</v>
      </c>
      <c r="AI93" s="39">
        <f>K93</f>
        <v>5.1732771037416674</v>
      </c>
      <c r="AJ93" s="39">
        <f>4119.35961/1000</f>
        <v>4.1193596100000001</v>
      </c>
      <c r="AK93" s="39">
        <v>0</v>
      </c>
      <c r="AL93" s="39">
        <v>0</v>
      </c>
      <c r="AM93" s="39">
        <f t="shared" si="84"/>
        <v>5.1732771037416674</v>
      </c>
      <c r="AN93" s="39">
        <f t="shared" si="80"/>
        <v>4.1193596100000001</v>
      </c>
      <c r="AO93" s="47" t="s">
        <v>374</v>
      </c>
      <c r="AP93" s="31"/>
      <c r="AQ93" s="31"/>
    </row>
    <row r="94" spans="1:43" ht="66" customHeight="1" x14ac:dyDescent="0.25">
      <c r="A94" s="46" t="s">
        <v>156</v>
      </c>
      <c r="B94" s="47" t="s">
        <v>157</v>
      </c>
      <c r="C94" s="58" t="s">
        <v>182</v>
      </c>
      <c r="D94" s="45" t="s">
        <v>111</v>
      </c>
      <c r="E94" s="45">
        <v>2023</v>
      </c>
      <c r="F94" s="45">
        <v>2023</v>
      </c>
      <c r="G94" s="45">
        <v>2023</v>
      </c>
      <c r="H94" s="39">
        <v>0.62456457029419088</v>
      </c>
      <c r="I94" s="39">
        <f>669.963369904789/1000</f>
        <v>0.669963369904789</v>
      </c>
      <c r="J94" s="39">
        <v>0</v>
      </c>
      <c r="K94" s="33">
        <v>4.7513384940435666</v>
      </c>
      <c r="L94" s="39">
        <v>0.223170805487451</v>
      </c>
      <c r="M94" s="39">
        <v>1.2090324648925199</v>
      </c>
      <c r="N94" s="39">
        <v>3.3191352236635998</v>
      </c>
      <c r="O94" s="39">
        <v>0</v>
      </c>
      <c r="P94" s="40">
        <f t="shared" si="100"/>
        <v>5.4665349900000004</v>
      </c>
      <c r="Q94" s="40">
        <v>0.27188799999999996</v>
      </c>
      <c r="R94" s="40">
        <v>1.2706164021200008</v>
      </c>
      <c r="S94" s="40">
        <v>3.9240305878799999</v>
      </c>
      <c r="T94" s="40">
        <f>O94</f>
        <v>0</v>
      </c>
      <c r="U94" s="41">
        <v>0</v>
      </c>
      <c r="V94" s="41">
        <v>0</v>
      </c>
      <c r="W94" s="39">
        <v>0.62456457029419088</v>
      </c>
      <c r="X94" s="39">
        <f>5.70160619285228/1.2</f>
        <v>4.7513384940435666</v>
      </c>
      <c r="Y94" s="39">
        <f>X94</f>
        <v>4.7513384940435666</v>
      </c>
      <c r="Z94" s="39">
        <f>6.559841988/1.2</f>
        <v>5.4665349899999995</v>
      </c>
      <c r="AA94" s="39">
        <v>0</v>
      </c>
      <c r="AB94" s="39">
        <v>0</v>
      </c>
      <c r="AC94" s="39">
        <v>0</v>
      </c>
      <c r="AD94" s="39">
        <f t="shared" ref="AD94" si="101">AC94</f>
        <v>0</v>
      </c>
      <c r="AE94" s="39">
        <f t="shared" ref="AE94:AF94" si="102">AD94</f>
        <v>0</v>
      </c>
      <c r="AF94" s="39">
        <f t="shared" si="102"/>
        <v>0</v>
      </c>
      <c r="AG94" s="39">
        <v>0</v>
      </c>
      <c r="AH94" s="39">
        <v>0</v>
      </c>
      <c r="AI94" s="39">
        <f>K94</f>
        <v>4.7513384940435666</v>
      </c>
      <c r="AJ94" s="39">
        <f>5466.53499/1000</f>
        <v>5.4665349900000004</v>
      </c>
      <c r="AK94" s="39">
        <v>0</v>
      </c>
      <c r="AL94" s="39">
        <v>0</v>
      </c>
      <c r="AM94" s="39">
        <f t="shared" si="84"/>
        <v>4.7513384940435666</v>
      </c>
      <c r="AN94" s="39">
        <f t="shared" si="80"/>
        <v>5.4665349900000004</v>
      </c>
      <c r="AO94" s="47" t="s">
        <v>374</v>
      </c>
      <c r="AP94" s="31"/>
      <c r="AQ94" s="31"/>
    </row>
    <row r="95" spans="1:43" ht="66" customHeight="1" x14ac:dyDescent="0.25">
      <c r="A95" s="46" t="s">
        <v>234</v>
      </c>
      <c r="B95" s="47" t="s">
        <v>256</v>
      </c>
      <c r="C95" s="58" t="s">
        <v>235</v>
      </c>
      <c r="D95" s="45" t="s">
        <v>111</v>
      </c>
      <c r="E95" s="45">
        <v>2021</v>
      </c>
      <c r="F95" s="45">
        <v>2021</v>
      </c>
      <c r="G95" s="45">
        <v>2021</v>
      </c>
      <c r="H95" s="39">
        <v>0.94973737999999996</v>
      </c>
      <c r="I95" s="39">
        <f>1.139684856/1.2</f>
        <v>0.94973737999999996</v>
      </c>
      <c r="J95" s="39">
        <v>0</v>
      </c>
      <c r="K95" s="33">
        <v>9.7110800000000008</v>
      </c>
      <c r="L95" s="39">
        <v>0.41699999999999998</v>
      </c>
      <c r="M95" s="39">
        <v>3.5880000000000001</v>
      </c>
      <c r="N95" s="39">
        <v>5.7060000000000004</v>
      </c>
      <c r="O95" s="39">
        <v>0</v>
      </c>
      <c r="P95" s="40">
        <f>SUM(Q95:T95)</f>
        <v>9.5614184499999997</v>
      </c>
      <c r="Q95" s="40">
        <v>0.41699999999999998</v>
      </c>
      <c r="R95" s="40">
        <v>2.76777082</v>
      </c>
      <c r="S95" s="40">
        <v>6.3766476299999999</v>
      </c>
      <c r="T95" s="40">
        <v>0</v>
      </c>
      <c r="U95" s="41">
        <v>0</v>
      </c>
      <c r="V95" s="41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f t="shared" si="59"/>
        <v>0</v>
      </c>
      <c r="AE95" s="39">
        <v>9.7110800000000008</v>
      </c>
      <c r="AF95" s="39">
        <v>9.5609570099999992</v>
      </c>
      <c r="AG95" s="39">
        <v>0</v>
      </c>
      <c r="AH95" s="39">
        <v>0</v>
      </c>
      <c r="AI95" s="39">
        <v>0</v>
      </c>
      <c r="AJ95" s="39">
        <f>AI95</f>
        <v>0</v>
      </c>
      <c r="AK95" s="39">
        <v>0</v>
      </c>
      <c r="AL95" s="39">
        <v>0</v>
      </c>
      <c r="AM95" s="39">
        <f>SUM(AC95,AE95,AG95,AI95,AK95)</f>
        <v>9.7110800000000008</v>
      </c>
      <c r="AN95" s="39">
        <f>SUM(AD95,AF95,AH95,AJ95,AL95)</f>
        <v>9.5609570099999992</v>
      </c>
      <c r="AO95" s="47" t="s">
        <v>374</v>
      </c>
      <c r="AP95" s="31"/>
      <c r="AQ95" s="31"/>
    </row>
    <row r="96" spans="1:43" ht="66" customHeight="1" x14ac:dyDescent="0.25">
      <c r="A96" s="46" t="s">
        <v>359</v>
      </c>
      <c r="B96" s="47" t="s">
        <v>350</v>
      </c>
      <c r="C96" s="58" t="s">
        <v>351</v>
      </c>
      <c r="D96" s="45" t="s">
        <v>111</v>
      </c>
      <c r="E96" s="45">
        <v>2023</v>
      </c>
      <c r="F96" s="45" t="s">
        <v>102</v>
      </c>
      <c r="G96" s="45">
        <v>2023</v>
      </c>
      <c r="H96" s="67" t="s">
        <v>102</v>
      </c>
      <c r="I96" s="67">
        <v>0.17726800000000001</v>
      </c>
      <c r="J96" s="67">
        <v>0</v>
      </c>
      <c r="K96" s="33" t="s">
        <v>102</v>
      </c>
      <c r="L96" s="67" t="s">
        <v>102</v>
      </c>
      <c r="M96" s="67" t="s">
        <v>102</v>
      </c>
      <c r="N96" s="67" t="s">
        <v>102</v>
      </c>
      <c r="O96" s="67" t="s">
        <v>102</v>
      </c>
      <c r="P96" s="40">
        <f t="shared" ref="P96:P99" si="103">SUM(Q96:T96)</f>
        <v>2.26985869</v>
      </c>
      <c r="Q96" s="68">
        <v>0.12180800000000001</v>
      </c>
      <c r="R96" s="68">
        <v>0.98805268999999996</v>
      </c>
      <c r="S96" s="68">
        <v>1.1599980000000001</v>
      </c>
      <c r="T96" s="68">
        <v>0</v>
      </c>
      <c r="U96" s="41">
        <v>0</v>
      </c>
      <c r="V96" s="41">
        <v>0</v>
      </c>
      <c r="W96" s="67">
        <v>0</v>
      </c>
      <c r="X96" s="67" t="s">
        <v>102</v>
      </c>
      <c r="Y96" s="67">
        <v>0</v>
      </c>
      <c r="Z96" s="67">
        <f>2269.858685/1000</f>
        <v>2.269858685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 t="s">
        <v>102</v>
      </c>
      <c r="AJ96" s="67">
        <v>2.269858685</v>
      </c>
      <c r="AK96" s="67">
        <v>0</v>
      </c>
      <c r="AL96" s="67">
        <v>0</v>
      </c>
      <c r="AM96" s="39" t="s">
        <v>102</v>
      </c>
      <c r="AN96" s="39">
        <f t="shared" ref="AN96:AN99" si="104">SUM(AD96,AF96,AH96,AJ96,AL96)</f>
        <v>2.269858685</v>
      </c>
      <c r="AO96" s="57" t="s">
        <v>374</v>
      </c>
      <c r="AP96" s="31"/>
      <c r="AQ96" s="31"/>
    </row>
    <row r="97" spans="1:43" ht="66" customHeight="1" x14ac:dyDescent="0.25">
      <c r="A97" s="46" t="s">
        <v>360</v>
      </c>
      <c r="B97" s="47" t="s">
        <v>352</v>
      </c>
      <c r="C97" s="58" t="s">
        <v>353</v>
      </c>
      <c r="D97" s="45" t="s">
        <v>111</v>
      </c>
      <c r="E97" s="45">
        <v>2023</v>
      </c>
      <c r="F97" s="45" t="s">
        <v>102</v>
      </c>
      <c r="G97" s="45">
        <v>2023</v>
      </c>
      <c r="H97" s="67" t="s">
        <v>102</v>
      </c>
      <c r="I97" s="67">
        <v>0.90501900000000002</v>
      </c>
      <c r="J97" s="67">
        <v>0</v>
      </c>
      <c r="K97" s="33" t="s">
        <v>102</v>
      </c>
      <c r="L97" s="67" t="s">
        <v>102</v>
      </c>
      <c r="M97" s="67" t="s">
        <v>102</v>
      </c>
      <c r="N97" s="67" t="s">
        <v>102</v>
      </c>
      <c r="O97" s="67" t="s">
        <v>102</v>
      </c>
      <c r="P97" s="40">
        <f t="shared" si="103"/>
        <v>11.447230560000001</v>
      </c>
      <c r="Q97" s="68">
        <v>0.59378999999999993</v>
      </c>
      <c r="R97" s="68">
        <v>4.9768951599999998</v>
      </c>
      <c r="S97" s="68">
        <v>5.8765454000000004</v>
      </c>
      <c r="T97" s="68">
        <v>0</v>
      </c>
      <c r="U97" s="41">
        <v>0</v>
      </c>
      <c r="V97" s="41">
        <v>0</v>
      </c>
      <c r="W97" s="67">
        <v>0</v>
      </c>
      <c r="X97" s="67" t="s">
        <v>102</v>
      </c>
      <c r="Y97" s="67">
        <v>0</v>
      </c>
      <c r="Z97" s="67">
        <f>11447.23056/1000</f>
        <v>11.447230559999999</v>
      </c>
      <c r="AA97" s="67">
        <v>0</v>
      </c>
      <c r="AB97" s="67">
        <v>0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 t="s">
        <v>102</v>
      </c>
      <c r="AJ97" s="67">
        <v>11.447230559999999</v>
      </c>
      <c r="AK97" s="67">
        <v>0</v>
      </c>
      <c r="AL97" s="67">
        <v>0</v>
      </c>
      <c r="AM97" s="39" t="s">
        <v>102</v>
      </c>
      <c r="AN97" s="39">
        <f t="shared" si="104"/>
        <v>11.447230559999999</v>
      </c>
      <c r="AO97" s="57" t="s">
        <v>374</v>
      </c>
      <c r="AP97" s="31"/>
      <c r="AQ97" s="31"/>
    </row>
    <row r="98" spans="1:43" ht="66" customHeight="1" x14ac:dyDescent="0.25">
      <c r="A98" s="46" t="s">
        <v>361</v>
      </c>
      <c r="B98" s="47" t="s">
        <v>354</v>
      </c>
      <c r="C98" s="58" t="s">
        <v>355</v>
      </c>
      <c r="D98" s="45" t="s">
        <v>111</v>
      </c>
      <c r="E98" s="45">
        <v>2023</v>
      </c>
      <c r="F98" s="45" t="s">
        <v>102</v>
      </c>
      <c r="G98" s="45">
        <v>2023</v>
      </c>
      <c r="H98" s="67" t="s">
        <v>102</v>
      </c>
      <c r="I98" s="67">
        <v>0.196467</v>
      </c>
      <c r="J98" s="67">
        <v>0</v>
      </c>
      <c r="K98" s="33" t="s">
        <v>102</v>
      </c>
      <c r="L98" s="67" t="s">
        <v>102</v>
      </c>
      <c r="M98" s="67" t="s">
        <v>102</v>
      </c>
      <c r="N98" s="67" t="s">
        <v>102</v>
      </c>
      <c r="O98" s="67" t="s">
        <v>102</v>
      </c>
      <c r="P98" s="40">
        <f t="shared" si="103"/>
        <v>2.4076122</v>
      </c>
      <c r="Q98" s="68">
        <f>86.63/1000</f>
        <v>8.6629999999999999E-2</v>
      </c>
      <c r="R98" s="68">
        <v>1.0025792899999999</v>
      </c>
      <c r="S98" s="68">
        <v>1.3184029100000001</v>
      </c>
      <c r="T98" s="68">
        <v>0</v>
      </c>
      <c r="U98" s="41">
        <v>0</v>
      </c>
      <c r="V98" s="41">
        <v>0</v>
      </c>
      <c r="W98" s="67">
        <v>0</v>
      </c>
      <c r="X98" s="67" t="s">
        <v>102</v>
      </c>
      <c r="Y98" s="67">
        <v>0</v>
      </c>
      <c r="Z98" s="67">
        <f>2407.61219/1000</f>
        <v>2.40761219</v>
      </c>
      <c r="AA98" s="67">
        <v>0</v>
      </c>
      <c r="AB98" s="67">
        <v>0</v>
      </c>
      <c r="AC98" s="67">
        <v>0</v>
      </c>
      <c r="AD98" s="67">
        <v>0</v>
      </c>
      <c r="AE98" s="67">
        <v>0</v>
      </c>
      <c r="AF98" s="67">
        <v>0</v>
      </c>
      <c r="AG98" s="67">
        <v>0</v>
      </c>
      <c r="AH98" s="67">
        <v>0</v>
      </c>
      <c r="AI98" s="67" t="s">
        <v>102</v>
      </c>
      <c r="AJ98" s="67">
        <v>2.40761219</v>
      </c>
      <c r="AK98" s="67">
        <v>0</v>
      </c>
      <c r="AL98" s="67">
        <v>0</v>
      </c>
      <c r="AM98" s="39" t="s">
        <v>102</v>
      </c>
      <c r="AN98" s="39">
        <f t="shared" si="104"/>
        <v>2.40761219</v>
      </c>
      <c r="AO98" s="57" t="s">
        <v>374</v>
      </c>
      <c r="AP98" s="31"/>
      <c r="AQ98" s="31"/>
    </row>
    <row r="99" spans="1:43" ht="66" customHeight="1" x14ac:dyDescent="0.25">
      <c r="A99" s="46" t="s">
        <v>362</v>
      </c>
      <c r="B99" s="47" t="s">
        <v>356</v>
      </c>
      <c r="C99" s="58" t="s">
        <v>357</v>
      </c>
      <c r="D99" s="45" t="s">
        <v>111</v>
      </c>
      <c r="E99" s="45">
        <v>2023</v>
      </c>
      <c r="F99" s="45" t="s">
        <v>102</v>
      </c>
      <c r="G99" s="45">
        <v>2023</v>
      </c>
      <c r="H99" s="67" t="s">
        <v>102</v>
      </c>
      <c r="I99" s="67">
        <v>0.33474100000000001</v>
      </c>
      <c r="J99" s="67">
        <v>0</v>
      </c>
      <c r="K99" s="33" t="s">
        <v>102</v>
      </c>
      <c r="L99" s="67" t="s">
        <v>102</v>
      </c>
      <c r="M99" s="67" t="s">
        <v>102</v>
      </c>
      <c r="N99" s="67" t="s">
        <v>102</v>
      </c>
      <c r="O99" s="67" t="s">
        <v>102</v>
      </c>
      <c r="P99" s="40">
        <f t="shared" si="103"/>
        <v>4.0196356199999999</v>
      </c>
      <c r="Q99" s="68">
        <v>0.14854699999999998</v>
      </c>
      <c r="R99" s="68">
        <v>1.57060555</v>
      </c>
      <c r="S99" s="68">
        <v>2.3004830699999999</v>
      </c>
      <c r="T99" s="68">
        <v>0</v>
      </c>
      <c r="U99" s="41">
        <v>0</v>
      </c>
      <c r="V99" s="41">
        <v>0</v>
      </c>
      <c r="W99" s="67">
        <v>0</v>
      </c>
      <c r="X99" s="67" t="s">
        <v>102</v>
      </c>
      <c r="Y99" s="67">
        <v>0</v>
      </c>
      <c r="Z99" s="67">
        <f>4019.635625/1000</f>
        <v>4.0196356250000003</v>
      </c>
      <c r="AA99" s="67">
        <v>0</v>
      </c>
      <c r="AB99" s="67">
        <v>0</v>
      </c>
      <c r="AC99" s="67">
        <v>0</v>
      </c>
      <c r="AD99" s="67">
        <v>0</v>
      </c>
      <c r="AE99" s="67">
        <v>0</v>
      </c>
      <c r="AF99" s="67">
        <v>0</v>
      </c>
      <c r="AG99" s="67">
        <v>0</v>
      </c>
      <c r="AH99" s="67">
        <v>0</v>
      </c>
      <c r="AI99" s="67" t="s">
        <v>102</v>
      </c>
      <c r="AJ99" s="67">
        <v>4.0196356250000003</v>
      </c>
      <c r="AK99" s="67">
        <v>0</v>
      </c>
      <c r="AL99" s="67">
        <v>0</v>
      </c>
      <c r="AM99" s="39" t="s">
        <v>102</v>
      </c>
      <c r="AN99" s="39">
        <f t="shared" si="104"/>
        <v>4.0196356250000003</v>
      </c>
      <c r="AO99" s="57" t="s">
        <v>374</v>
      </c>
      <c r="AP99" s="31"/>
      <c r="AQ99" s="31"/>
    </row>
    <row r="100" spans="1:43" ht="31.5" customHeight="1" x14ac:dyDescent="0.25">
      <c r="A100" s="42" t="s">
        <v>64</v>
      </c>
      <c r="B100" s="43" t="s">
        <v>65</v>
      </c>
      <c r="C100" s="44" t="s">
        <v>104</v>
      </c>
      <c r="D100" s="41" t="s">
        <v>102</v>
      </c>
      <c r="E100" s="41" t="s">
        <v>102</v>
      </c>
      <c r="F100" s="41" t="s">
        <v>102</v>
      </c>
      <c r="G100" s="41" t="s">
        <v>102</v>
      </c>
      <c r="H100" s="41">
        <f>SUM(H101:H105)</f>
        <v>2.0322128512815767</v>
      </c>
      <c r="I100" s="41">
        <f t="shared" ref="I100:AN100" si="105">SUM(I101:I105)</f>
        <v>2.0322128512815767</v>
      </c>
      <c r="J100" s="41">
        <f t="shared" si="105"/>
        <v>0</v>
      </c>
      <c r="K100" s="33">
        <v>19.158976150200001</v>
      </c>
      <c r="L100" s="41">
        <f t="shared" si="105"/>
        <v>0.65928600000000004</v>
      </c>
      <c r="M100" s="41">
        <f t="shared" si="105"/>
        <v>6.4961331502000004</v>
      </c>
      <c r="N100" s="41">
        <f t="shared" si="105"/>
        <v>12.003557000000001</v>
      </c>
      <c r="O100" s="41">
        <f t="shared" si="105"/>
        <v>0</v>
      </c>
      <c r="P100" s="41">
        <f t="shared" si="105"/>
        <v>21.817144020000001</v>
      </c>
      <c r="Q100" s="41">
        <f t="shared" si="105"/>
        <v>0.85543100000000005</v>
      </c>
      <c r="R100" s="41">
        <f t="shared" si="105"/>
        <v>7.4873347199999998</v>
      </c>
      <c r="S100" s="41">
        <f>SUM(S101:S105)</f>
        <v>13.4743783</v>
      </c>
      <c r="T100" s="41">
        <f t="shared" si="105"/>
        <v>0</v>
      </c>
      <c r="U100" s="41">
        <f t="shared" si="105"/>
        <v>0</v>
      </c>
      <c r="V100" s="41">
        <f t="shared" si="105"/>
        <v>0</v>
      </c>
      <c r="W100" s="41">
        <f t="shared" si="105"/>
        <v>0</v>
      </c>
      <c r="X100" s="41">
        <v>0</v>
      </c>
      <c r="Y100" s="41">
        <f t="shared" si="105"/>
        <v>2.0322128512815789</v>
      </c>
      <c r="Z100" s="41">
        <v>0</v>
      </c>
      <c r="AA100" s="41">
        <f t="shared" si="105"/>
        <v>0</v>
      </c>
      <c r="AB100" s="41">
        <f t="shared" si="105"/>
        <v>0</v>
      </c>
      <c r="AC100" s="41">
        <f t="shared" si="105"/>
        <v>0</v>
      </c>
      <c r="AD100" s="41">
        <f t="shared" si="105"/>
        <v>2.4592336399999999</v>
      </c>
      <c r="AE100" s="41">
        <f t="shared" si="105"/>
        <v>0</v>
      </c>
      <c r="AF100" s="41">
        <f t="shared" si="105"/>
        <v>0</v>
      </c>
      <c r="AG100" s="41">
        <f t="shared" si="105"/>
        <v>19.158976150200001</v>
      </c>
      <c r="AH100" s="41">
        <f t="shared" si="105"/>
        <v>19.35791038</v>
      </c>
      <c r="AI100" s="41">
        <f t="shared" si="105"/>
        <v>0</v>
      </c>
      <c r="AJ100" s="41">
        <f t="shared" si="105"/>
        <v>0</v>
      </c>
      <c r="AK100" s="41">
        <f t="shared" si="105"/>
        <v>0</v>
      </c>
      <c r="AL100" s="41">
        <f t="shared" si="105"/>
        <v>0</v>
      </c>
      <c r="AM100" s="41">
        <f t="shared" si="105"/>
        <v>19.158976150200001</v>
      </c>
      <c r="AN100" s="41">
        <f t="shared" si="105"/>
        <v>21.817144020000001</v>
      </c>
      <c r="AO100" s="45"/>
      <c r="AP100" s="31"/>
      <c r="AQ100" s="31"/>
    </row>
    <row r="101" spans="1:43" ht="49.5" customHeight="1" x14ac:dyDescent="0.25">
      <c r="A101" s="46" t="s">
        <v>279</v>
      </c>
      <c r="B101" s="47" t="s">
        <v>280</v>
      </c>
      <c r="C101" s="58" t="s">
        <v>281</v>
      </c>
      <c r="D101" s="45" t="s">
        <v>259</v>
      </c>
      <c r="E101" s="45">
        <v>2020</v>
      </c>
      <c r="F101" s="39" t="s">
        <v>102</v>
      </c>
      <c r="G101" s="45">
        <v>2020</v>
      </c>
      <c r="H101" s="39" t="s">
        <v>102</v>
      </c>
      <c r="I101" s="39" t="s">
        <v>102</v>
      </c>
      <c r="J101" s="39">
        <v>0</v>
      </c>
      <c r="K101" s="33">
        <v>0</v>
      </c>
      <c r="L101" s="39">
        <v>0</v>
      </c>
      <c r="M101" s="39">
        <v>0</v>
      </c>
      <c r="N101" s="39">
        <v>0</v>
      </c>
      <c r="O101" s="39">
        <v>0</v>
      </c>
      <c r="P101" s="40">
        <f t="shared" ref="P101:P102" si="106">SUM(Q101:T101)</f>
        <v>1.3885223500000001</v>
      </c>
      <c r="Q101" s="40">
        <v>6.5000000000000002E-2</v>
      </c>
      <c r="R101" s="40">
        <v>0.20917911</v>
      </c>
      <c r="S101" s="40">
        <v>1.1143432400000002</v>
      </c>
      <c r="T101" s="40">
        <v>0</v>
      </c>
      <c r="U101" s="41">
        <v>0</v>
      </c>
      <c r="V101" s="41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1.3885223499999999</v>
      </c>
      <c r="AE101" s="39">
        <v>0</v>
      </c>
      <c r="AF101" s="39">
        <f t="shared" ref="AF101:AF102" si="107">AE101</f>
        <v>0</v>
      </c>
      <c r="AG101" s="39">
        <v>0</v>
      </c>
      <c r="AH101" s="39">
        <v>0</v>
      </c>
      <c r="AI101" s="39">
        <v>0</v>
      </c>
      <c r="AJ101" s="39">
        <v>0</v>
      </c>
      <c r="AK101" s="39">
        <v>0</v>
      </c>
      <c r="AL101" s="39">
        <v>0</v>
      </c>
      <c r="AM101" s="39">
        <f>SUM(AC101,AE101,AG101,AI101,AK101)</f>
        <v>0</v>
      </c>
      <c r="AN101" s="39">
        <f t="shared" ref="AN101:AN102" si="108">AD101+AF101+AH101+AJ101+AL101</f>
        <v>1.3885223499999999</v>
      </c>
      <c r="AO101" s="47" t="s">
        <v>374</v>
      </c>
      <c r="AP101" s="31"/>
      <c r="AQ101" s="31"/>
    </row>
    <row r="102" spans="1:43" ht="53.25" customHeight="1" x14ac:dyDescent="0.25">
      <c r="A102" s="46" t="s">
        <v>282</v>
      </c>
      <c r="B102" s="47" t="s">
        <v>283</v>
      </c>
      <c r="C102" s="58" t="s">
        <v>284</v>
      </c>
      <c r="D102" s="45" t="s">
        <v>259</v>
      </c>
      <c r="E102" s="45">
        <v>2020</v>
      </c>
      <c r="F102" s="39" t="s">
        <v>102</v>
      </c>
      <c r="G102" s="45">
        <v>2020</v>
      </c>
      <c r="H102" s="39" t="s">
        <v>102</v>
      </c>
      <c r="I102" s="39" t="s">
        <v>102</v>
      </c>
      <c r="J102" s="39">
        <v>0</v>
      </c>
      <c r="K102" s="33">
        <v>0</v>
      </c>
      <c r="L102" s="39">
        <v>0</v>
      </c>
      <c r="M102" s="39">
        <v>0</v>
      </c>
      <c r="N102" s="39">
        <v>0</v>
      </c>
      <c r="O102" s="39">
        <v>0</v>
      </c>
      <c r="P102" s="40">
        <f t="shared" si="106"/>
        <v>1.07071129</v>
      </c>
      <c r="Q102" s="40">
        <v>7.0144999999999999E-2</v>
      </c>
      <c r="R102" s="40">
        <v>0.41117923000000001</v>
      </c>
      <c r="S102" s="40">
        <v>0.58938705999999996</v>
      </c>
      <c r="T102" s="40">
        <v>0</v>
      </c>
      <c r="U102" s="41">
        <v>0</v>
      </c>
      <c r="V102" s="41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B102" s="39">
        <v>0</v>
      </c>
      <c r="AC102" s="39">
        <v>0</v>
      </c>
      <c r="AD102" s="39">
        <v>1.07071129</v>
      </c>
      <c r="AE102" s="39">
        <v>0</v>
      </c>
      <c r="AF102" s="39">
        <f t="shared" si="107"/>
        <v>0</v>
      </c>
      <c r="AG102" s="39">
        <v>0</v>
      </c>
      <c r="AH102" s="39">
        <v>0</v>
      </c>
      <c r="AI102" s="39">
        <v>0</v>
      </c>
      <c r="AJ102" s="39">
        <v>0</v>
      </c>
      <c r="AK102" s="39">
        <v>0</v>
      </c>
      <c r="AL102" s="39">
        <v>0</v>
      </c>
      <c r="AM102" s="39">
        <f>SUM(AC102,AE102,AG102,AI102,AK102)</f>
        <v>0</v>
      </c>
      <c r="AN102" s="39">
        <f t="shared" si="108"/>
        <v>1.07071129</v>
      </c>
      <c r="AO102" s="47" t="s">
        <v>374</v>
      </c>
      <c r="AP102" s="31"/>
      <c r="AQ102" s="31"/>
    </row>
    <row r="103" spans="1:43" ht="49.5" customHeight="1" x14ac:dyDescent="0.25">
      <c r="A103" s="46" t="s">
        <v>306</v>
      </c>
      <c r="B103" s="47" t="s">
        <v>307</v>
      </c>
      <c r="C103" s="58" t="s">
        <v>308</v>
      </c>
      <c r="D103" s="45" t="s">
        <v>111</v>
      </c>
      <c r="E103" s="45">
        <v>2022</v>
      </c>
      <c r="F103" s="45">
        <v>2022</v>
      </c>
      <c r="G103" s="45">
        <v>2022</v>
      </c>
      <c r="H103" s="39">
        <v>0.42081960713684252</v>
      </c>
      <c r="I103" s="39">
        <f>0.504983528564211/1.2</f>
        <v>0.42081960713684252</v>
      </c>
      <c r="J103" s="39">
        <v>0</v>
      </c>
      <c r="K103" s="33">
        <v>4.4337014375999999</v>
      </c>
      <c r="L103" s="39">
        <v>0.15636000000000003</v>
      </c>
      <c r="M103" s="39">
        <v>1.8059814375999999</v>
      </c>
      <c r="N103" s="39">
        <v>2.4713600000000002</v>
      </c>
      <c r="O103" s="39">
        <v>0</v>
      </c>
      <c r="P103" s="40">
        <f t="shared" si="100"/>
        <v>4.4426088699999999</v>
      </c>
      <c r="Q103" s="40">
        <v>0.16536000000000001</v>
      </c>
      <c r="R103" s="40">
        <v>1.8058888700000002</v>
      </c>
      <c r="S103" s="40">
        <v>2.4713599999999998</v>
      </c>
      <c r="T103" s="40">
        <v>0</v>
      </c>
      <c r="U103" s="41">
        <v>0</v>
      </c>
      <c r="V103" s="41">
        <v>0</v>
      </c>
      <c r="W103" s="39" t="s">
        <v>102</v>
      </c>
      <c r="X103" s="39">
        <v>0</v>
      </c>
      <c r="Y103" s="39">
        <v>0.42081960713684213</v>
      </c>
      <c r="Z103" s="39">
        <v>0</v>
      </c>
      <c r="AA103" s="39">
        <v>0</v>
      </c>
      <c r="AB103" s="39">
        <v>0</v>
      </c>
      <c r="AC103" s="39">
        <v>0</v>
      </c>
      <c r="AD103" s="39">
        <v>0</v>
      </c>
      <c r="AE103" s="39">
        <v>0</v>
      </c>
      <c r="AF103" s="39">
        <f t="shared" ref="AF103:AF105" si="109">AE103</f>
        <v>0</v>
      </c>
      <c r="AG103" s="39">
        <v>4.4337014375999999</v>
      </c>
      <c r="AH103" s="39">
        <f>4442.60887/1000</f>
        <v>4.4426088699999999</v>
      </c>
      <c r="AI103" s="39">
        <v>0</v>
      </c>
      <c r="AJ103" s="39">
        <v>0</v>
      </c>
      <c r="AK103" s="39">
        <v>0</v>
      </c>
      <c r="AL103" s="39">
        <v>0</v>
      </c>
      <c r="AM103" s="39">
        <f>SUM(AC103,AE103,AG103,AI103,AK103)</f>
        <v>4.4337014375999999</v>
      </c>
      <c r="AN103" s="39">
        <f t="shared" ref="AN103:AN137" si="110">AD103+AF103+AH103+AJ103+AL103</f>
        <v>4.4426088699999999</v>
      </c>
      <c r="AO103" s="47" t="s">
        <v>374</v>
      </c>
      <c r="AP103" s="31"/>
      <c r="AQ103" s="31"/>
    </row>
    <row r="104" spans="1:43" ht="49.5" customHeight="1" x14ac:dyDescent="0.25">
      <c r="A104" s="46" t="s">
        <v>309</v>
      </c>
      <c r="B104" s="47" t="s">
        <v>310</v>
      </c>
      <c r="C104" s="58" t="s">
        <v>311</v>
      </c>
      <c r="D104" s="45" t="s">
        <v>111</v>
      </c>
      <c r="E104" s="45">
        <v>2022</v>
      </c>
      <c r="F104" s="45">
        <v>2022</v>
      </c>
      <c r="G104" s="45">
        <v>2022</v>
      </c>
      <c r="H104" s="39">
        <v>0.4231779218368425</v>
      </c>
      <c r="I104" s="39">
        <f>0.507813506204211/1.2</f>
        <v>0.4231779218368425</v>
      </c>
      <c r="J104" s="39">
        <v>0</v>
      </c>
      <c r="K104" s="33">
        <v>4.4601703512000004</v>
      </c>
      <c r="L104" s="39">
        <v>0.15636000000000003</v>
      </c>
      <c r="M104" s="39">
        <v>1.8326383512000002</v>
      </c>
      <c r="N104" s="39">
        <v>2.4711719999999997</v>
      </c>
      <c r="O104" s="39">
        <v>0</v>
      </c>
      <c r="P104" s="40">
        <f t="shared" ref="P104" si="111">SUM(Q104:T104)</f>
        <v>4.4771278300000006</v>
      </c>
      <c r="Q104" s="40">
        <v>0.17336000000000001</v>
      </c>
      <c r="R104" s="40">
        <v>2.0655048300000001</v>
      </c>
      <c r="S104" s="40">
        <v>2.2382629999999999</v>
      </c>
      <c r="T104" s="40">
        <v>0</v>
      </c>
      <c r="U104" s="41">
        <v>0</v>
      </c>
      <c r="V104" s="41">
        <v>0</v>
      </c>
      <c r="W104" s="39" t="s">
        <v>102</v>
      </c>
      <c r="X104" s="39">
        <v>0</v>
      </c>
      <c r="Y104" s="39">
        <v>0.423177921836842</v>
      </c>
      <c r="Z104" s="39">
        <v>0</v>
      </c>
      <c r="AA104" s="39">
        <v>0</v>
      </c>
      <c r="AB104" s="39">
        <v>0</v>
      </c>
      <c r="AC104" s="39">
        <v>0</v>
      </c>
      <c r="AD104" s="39">
        <v>0</v>
      </c>
      <c r="AE104" s="39">
        <v>0</v>
      </c>
      <c r="AF104" s="39">
        <f t="shared" ref="AF104" si="112">AE104</f>
        <v>0</v>
      </c>
      <c r="AG104" s="39">
        <v>4.4601703512000004</v>
      </c>
      <c r="AH104" s="39">
        <f>4477.12783/1000</f>
        <v>4.4771278300000006</v>
      </c>
      <c r="AI104" s="39">
        <v>0</v>
      </c>
      <c r="AJ104" s="39">
        <v>0</v>
      </c>
      <c r="AK104" s="39">
        <v>0</v>
      </c>
      <c r="AL104" s="39">
        <v>0</v>
      </c>
      <c r="AM104" s="39">
        <f>SUM(AC104,AE104,AG104,AI104,AK104)</f>
        <v>4.4601703512000004</v>
      </c>
      <c r="AN104" s="39">
        <f t="shared" ref="AN104" si="113">AD104+AF104+AH104+AJ104+AL104</f>
        <v>4.4771278300000006</v>
      </c>
      <c r="AO104" s="47" t="s">
        <v>374</v>
      </c>
      <c r="AP104" s="31"/>
      <c r="AQ104" s="31"/>
    </row>
    <row r="105" spans="1:43" ht="53.25" customHeight="1" x14ac:dyDescent="0.25">
      <c r="A105" s="46" t="s">
        <v>312</v>
      </c>
      <c r="B105" s="47" t="s">
        <v>313</v>
      </c>
      <c r="C105" s="58" t="s">
        <v>314</v>
      </c>
      <c r="D105" s="45" t="s">
        <v>111</v>
      </c>
      <c r="E105" s="45">
        <v>2022</v>
      </c>
      <c r="F105" s="45">
        <v>2022</v>
      </c>
      <c r="G105" s="45">
        <v>2022</v>
      </c>
      <c r="H105" s="39">
        <v>1.1882153223078917</v>
      </c>
      <c r="I105" s="39">
        <f>1.42585838676947/1.2</f>
        <v>1.1882153223078917</v>
      </c>
      <c r="J105" s="39">
        <v>0</v>
      </c>
      <c r="K105" s="33">
        <v>10.265104361400001</v>
      </c>
      <c r="L105" s="39">
        <v>0.34656599999999999</v>
      </c>
      <c r="M105" s="39">
        <v>2.8575133614000001</v>
      </c>
      <c r="N105" s="39">
        <v>7.0610249999999999</v>
      </c>
      <c r="O105" s="39">
        <v>0</v>
      </c>
      <c r="P105" s="40">
        <f t="shared" si="100"/>
        <v>10.438173679999998</v>
      </c>
      <c r="Q105" s="40">
        <v>0.38156599999999996</v>
      </c>
      <c r="R105" s="40">
        <v>2.9955826799999996</v>
      </c>
      <c r="S105" s="40">
        <v>7.0610249999999999</v>
      </c>
      <c r="T105" s="40">
        <v>0</v>
      </c>
      <c r="U105" s="41">
        <v>0</v>
      </c>
      <c r="V105" s="41">
        <v>0</v>
      </c>
      <c r="W105" s="39" t="s">
        <v>102</v>
      </c>
      <c r="X105" s="39">
        <v>0</v>
      </c>
      <c r="Y105" s="39">
        <v>1.1882153223078948</v>
      </c>
      <c r="Z105" s="39">
        <v>0</v>
      </c>
      <c r="AA105" s="39">
        <v>0</v>
      </c>
      <c r="AB105" s="39">
        <v>0</v>
      </c>
      <c r="AC105" s="39">
        <v>0</v>
      </c>
      <c r="AD105" s="39">
        <v>0</v>
      </c>
      <c r="AE105" s="39">
        <v>0</v>
      </c>
      <c r="AF105" s="39">
        <f t="shared" si="109"/>
        <v>0</v>
      </c>
      <c r="AG105" s="39">
        <v>10.265104361400001</v>
      </c>
      <c r="AH105" s="39">
        <f>10438.17368/1000</f>
        <v>10.43817368</v>
      </c>
      <c r="AI105" s="39">
        <v>0</v>
      </c>
      <c r="AJ105" s="39">
        <v>0</v>
      </c>
      <c r="AK105" s="39">
        <v>0</v>
      </c>
      <c r="AL105" s="39">
        <v>0</v>
      </c>
      <c r="AM105" s="39">
        <f>SUM(AC105,AE105,AG105,AI105,AK105)</f>
        <v>10.265104361400001</v>
      </c>
      <c r="AN105" s="39">
        <f t="shared" si="110"/>
        <v>10.43817368</v>
      </c>
      <c r="AO105" s="47" t="s">
        <v>374</v>
      </c>
      <c r="AP105" s="31"/>
      <c r="AQ105" s="31"/>
    </row>
    <row r="106" spans="1:43" ht="31.5" x14ac:dyDescent="0.25">
      <c r="A106" s="42" t="s">
        <v>66</v>
      </c>
      <c r="B106" s="43" t="s">
        <v>67</v>
      </c>
      <c r="C106" s="44" t="s">
        <v>104</v>
      </c>
      <c r="D106" s="45" t="s">
        <v>102</v>
      </c>
      <c r="E106" s="45" t="s">
        <v>102</v>
      </c>
      <c r="F106" s="45" t="s">
        <v>102</v>
      </c>
      <c r="G106" s="45" t="s">
        <v>102</v>
      </c>
      <c r="H106" s="39">
        <v>0</v>
      </c>
      <c r="I106" s="39">
        <f t="shared" ref="I106:I137" si="114">H106</f>
        <v>0</v>
      </c>
      <c r="J106" s="39">
        <v>0</v>
      </c>
      <c r="K106" s="33">
        <v>0</v>
      </c>
      <c r="L106" s="39">
        <v>0</v>
      </c>
      <c r="M106" s="39">
        <v>0</v>
      </c>
      <c r="N106" s="39">
        <v>0</v>
      </c>
      <c r="O106" s="39">
        <v>0</v>
      </c>
      <c r="P106" s="40">
        <f t="shared" ref="P106:P122" si="115">K106</f>
        <v>0</v>
      </c>
      <c r="Q106" s="40">
        <f t="shared" ref="Q106:Q122" si="116">L106</f>
        <v>0</v>
      </c>
      <c r="R106" s="40">
        <f t="shared" ref="R106:R122" si="117">M106</f>
        <v>0</v>
      </c>
      <c r="S106" s="40">
        <f t="shared" ref="S106:S122" si="118">N106</f>
        <v>0</v>
      </c>
      <c r="T106" s="40">
        <f t="shared" ref="T106:T122" si="119">O106</f>
        <v>0</v>
      </c>
      <c r="U106" s="41">
        <v>0</v>
      </c>
      <c r="V106" s="41">
        <v>0</v>
      </c>
      <c r="W106" s="39">
        <v>0</v>
      </c>
      <c r="X106" s="39">
        <v>0</v>
      </c>
      <c r="Y106" s="39">
        <f t="shared" ref="Y106:Y122" si="120">X106</f>
        <v>0</v>
      </c>
      <c r="Z106" s="39">
        <v>0</v>
      </c>
      <c r="AA106" s="39">
        <v>0</v>
      </c>
      <c r="AB106" s="39">
        <f t="shared" ref="AB106:AB122" si="121">AA106</f>
        <v>0</v>
      </c>
      <c r="AC106" s="39">
        <v>0</v>
      </c>
      <c r="AD106" s="39">
        <f>AC106</f>
        <v>0</v>
      </c>
      <c r="AE106" s="39">
        <f t="shared" si="60"/>
        <v>0</v>
      </c>
      <c r="AF106" s="39">
        <f t="shared" si="60"/>
        <v>0</v>
      </c>
      <c r="AG106" s="39">
        <v>0</v>
      </c>
      <c r="AH106" s="39">
        <v>0</v>
      </c>
      <c r="AI106" s="39">
        <v>0</v>
      </c>
      <c r="AJ106" s="39">
        <v>0</v>
      </c>
      <c r="AK106" s="39">
        <v>0</v>
      </c>
      <c r="AL106" s="39">
        <v>0</v>
      </c>
      <c r="AM106" s="39">
        <f t="shared" si="84"/>
        <v>0</v>
      </c>
      <c r="AN106" s="39">
        <f t="shared" si="110"/>
        <v>0</v>
      </c>
      <c r="AO106" s="45"/>
      <c r="AP106" s="31"/>
      <c r="AQ106" s="31"/>
    </row>
    <row r="107" spans="1:43" ht="15.75" customHeight="1" x14ac:dyDescent="0.25">
      <c r="A107" s="42" t="s">
        <v>68</v>
      </c>
      <c r="B107" s="43" t="s">
        <v>69</v>
      </c>
      <c r="C107" s="44" t="s">
        <v>104</v>
      </c>
      <c r="D107" s="45" t="s">
        <v>102</v>
      </c>
      <c r="E107" s="45" t="s">
        <v>102</v>
      </c>
      <c r="F107" s="45" t="s">
        <v>102</v>
      </c>
      <c r="G107" s="45" t="s">
        <v>102</v>
      </c>
      <c r="H107" s="39">
        <v>0</v>
      </c>
      <c r="I107" s="39">
        <f t="shared" si="114"/>
        <v>0</v>
      </c>
      <c r="J107" s="39">
        <v>0</v>
      </c>
      <c r="K107" s="33">
        <v>0</v>
      </c>
      <c r="L107" s="39">
        <v>0</v>
      </c>
      <c r="M107" s="39">
        <v>0</v>
      </c>
      <c r="N107" s="39">
        <v>0</v>
      </c>
      <c r="O107" s="39">
        <v>0</v>
      </c>
      <c r="P107" s="40">
        <f t="shared" si="115"/>
        <v>0</v>
      </c>
      <c r="Q107" s="40">
        <f t="shared" si="116"/>
        <v>0</v>
      </c>
      <c r="R107" s="40">
        <f t="shared" si="117"/>
        <v>0</v>
      </c>
      <c r="S107" s="40">
        <f t="shared" si="118"/>
        <v>0</v>
      </c>
      <c r="T107" s="40">
        <f t="shared" si="119"/>
        <v>0</v>
      </c>
      <c r="U107" s="41">
        <v>0</v>
      </c>
      <c r="V107" s="41">
        <v>0</v>
      </c>
      <c r="W107" s="39">
        <v>0</v>
      </c>
      <c r="X107" s="39">
        <v>0</v>
      </c>
      <c r="Y107" s="39">
        <f t="shared" si="120"/>
        <v>0</v>
      </c>
      <c r="Z107" s="39">
        <v>0</v>
      </c>
      <c r="AA107" s="39">
        <v>0</v>
      </c>
      <c r="AB107" s="39">
        <f t="shared" si="121"/>
        <v>0</v>
      </c>
      <c r="AC107" s="39">
        <v>0</v>
      </c>
      <c r="AD107" s="39">
        <f t="shared" si="59"/>
        <v>0</v>
      </c>
      <c r="AE107" s="39">
        <f t="shared" si="60"/>
        <v>0</v>
      </c>
      <c r="AF107" s="39">
        <f t="shared" si="60"/>
        <v>0</v>
      </c>
      <c r="AG107" s="39">
        <v>0</v>
      </c>
      <c r="AH107" s="39">
        <v>0</v>
      </c>
      <c r="AI107" s="39">
        <v>0</v>
      </c>
      <c r="AJ107" s="39">
        <v>0</v>
      </c>
      <c r="AK107" s="39">
        <v>0</v>
      </c>
      <c r="AL107" s="39">
        <v>0</v>
      </c>
      <c r="AM107" s="39">
        <f t="shared" si="84"/>
        <v>0</v>
      </c>
      <c r="AN107" s="39">
        <f t="shared" si="110"/>
        <v>0</v>
      </c>
      <c r="AO107" s="45"/>
      <c r="AP107" s="31"/>
      <c r="AQ107" s="31"/>
    </row>
    <row r="108" spans="1:43" ht="15.75" customHeight="1" x14ac:dyDescent="0.25">
      <c r="A108" s="42" t="s">
        <v>70</v>
      </c>
      <c r="B108" s="43" t="s">
        <v>71</v>
      </c>
      <c r="C108" s="44" t="s">
        <v>104</v>
      </c>
      <c r="D108" s="45" t="s">
        <v>102</v>
      </c>
      <c r="E108" s="45" t="s">
        <v>102</v>
      </c>
      <c r="F108" s="45" t="s">
        <v>102</v>
      </c>
      <c r="G108" s="45" t="s">
        <v>102</v>
      </c>
      <c r="H108" s="39">
        <v>0</v>
      </c>
      <c r="I108" s="39">
        <f t="shared" si="114"/>
        <v>0</v>
      </c>
      <c r="J108" s="39">
        <v>0</v>
      </c>
      <c r="K108" s="33">
        <v>0</v>
      </c>
      <c r="L108" s="39">
        <v>0</v>
      </c>
      <c r="M108" s="39">
        <v>0</v>
      </c>
      <c r="N108" s="39">
        <v>0</v>
      </c>
      <c r="O108" s="39">
        <v>0</v>
      </c>
      <c r="P108" s="40">
        <f t="shared" si="115"/>
        <v>0</v>
      </c>
      <c r="Q108" s="40">
        <f t="shared" si="116"/>
        <v>0</v>
      </c>
      <c r="R108" s="40">
        <f t="shared" si="117"/>
        <v>0</v>
      </c>
      <c r="S108" s="40">
        <f t="shared" si="118"/>
        <v>0</v>
      </c>
      <c r="T108" s="40">
        <f t="shared" si="119"/>
        <v>0</v>
      </c>
      <c r="U108" s="41">
        <v>0</v>
      </c>
      <c r="V108" s="41">
        <v>0</v>
      </c>
      <c r="W108" s="39">
        <v>0</v>
      </c>
      <c r="X108" s="39">
        <v>0</v>
      </c>
      <c r="Y108" s="39">
        <f t="shared" si="120"/>
        <v>0</v>
      </c>
      <c r="Z108" s="39">
        <v>0</v>
      </c>
      <c r="AA108" s="39">
        <v>0</v>
      </c>
      <c r="AB108" s="39">
        <f t="shared" si="121"/>
        <v>0</v>
      </c>
      <c r="AC108" s="39">
        <v>0</v>
      </c>
      <c r="AD108" s="39">
        <f t="shared" si="59"/>
        <v>0</v>
      </c>
      <c r="AE108" s="39">
        <f t="shared" si="60"/>
        <v>0</v>
      </c>
      <c r="AF108" s="39">
        <f t="shared" si="60"/>
        <v>0</v>
      </c>
      <c r="AG108" s="39">
        <v>0</v>
      </c>
      <c r="AH108" s="39">
        <v>0</v>
      </c>
      <c r="AI108" s="39">
        <v>0</v>
      </c>
      <c r="AJ108" s="39">
        <v>0</v>
      </c>
      <c r="AK108" s="39">
        <v>0</v>
      </c>
      <c r="AL108" s="39">
        <v>0</v>
      </c>
      <c r="AM108" s="39">
        <f t="shared" si="84"/>
        <v>0</v>
      </c>
      <c r="AN108" s="39">
        <f t="shared" si="110"/>
        <v>0</v>
      </c>
      <c r="AO108" s="45"/>
      <c r="AP108" s="31"/>
      <c r="AQ108" s="31"/>
    </row>
    <row r="109" spans="1:43" ht="15.75" customHeight="1" x14ac:dyDescent="0.25">
      <c r="A109" s="42" t="s">
        <v>72</v>
      </c>
      <c r="B109" s="43" t="s">
        <v>73</v>
      </c>
      <c r="C109" s="44" t="s">
        <v>104</v>
      </c>
      <c r="D109" s="45" t="s">
        <v>102</v>
      </c>
      <c r="E109" s="45" t="s">
        <v>102</v>
      </c>
      <c r="F109" s="45" t="s">
        <v>102</v>
      </c>
      <c r="G109" s="45" t="s">
        <v>102</v>
      </c>
      <c r="H109" s="39">
        <v>0</v>
      </c>
      <c r="I109" s="39">
        <f t="shared" si="114"/>
        <v>0</v>
      </c>
      <c r="J109" s="39">
        <v>0</v>
      </c>
      <c r="K109" s="33">
        <v>0</v>
      </c>
      <c r="L109" s="39">
        <v>0</v>
      </c>
      <c r="M109" s="39">
        <v>0</v>
      </c>
      <c r="N109" s="39">
        <v>0</v>
      </c>
      <c r="O109" s="39">
        <v>0</v>
      </c>
      <c r="P109" s="40">
        <f t="shared" si="115"/>
        <v>0</v>
      </c>
      <c r="Q109" s="40">
        <f t="shared" si="116"/>
        <v>0</v>
      </c>
      <c r="R109" s="40">
        <f t="shared" si="117"/>
        <v>0</v>
      </c>
      <c r="S109" s="40">
        <f t="shared" si="118"/>
        <v>0</v>
      </c>
      <c r="T109" s="40">
        <f t="shared" si="119"/>
        <v>0</v>
      </c>
      <c r="U109" s="41">
        <v>0</v>
      </c>
      <c r="V109" s="41">
        <v>0</v>
      </c>
      <c r="W109" s="39">
        <v>0</v>
      </c>
      <c r="X109" s="39">
        <v>0</v>
      </c>
      <c r="Y109" s="39">
        <f t="shared" si="120"/>
        <v>0</v>
      </c>
      <c r="Z109" s="39">
        <v>0</v>
      </c>
      <c r="AA109" s="39">
        <v>0</v>
      </c>
      <c r="AB109" s="39">
        <f t="shared" si="121"/>
        <v>0</v>
      </c>
      <c r="AC109" s="39">
        <v>0</v>
      </c>
      <c r="AD109" s="39">
        <f t="shared" si="59"/>
        <v>0</v>
      </c>
      <c r="AE109" s="39">
        <f t="shared" si="60"/>
        <v>0</v>
      </c>
      <c r="AF109" s="39">
        <f t="shared" si="60"/>
        <v>0</v>
      </c>
      <c r="AG109" s="39">
        <v>0</v>
      </c>
      <c r="AH109" s="39">
        <v>0</v>
      </c>
      <c r="AI109" s="39">
        <v>0</v>
      </c>
      <c r="AJ109" s="39">
        <v>0</v>
      </c>
      <c r="AK109" s="39">
        <v>0</v>
      </c>
      <c r="AL109" s="39">
        <v>0</v>
      </c>
      <c r="AM109" s="39">
        <f t="shared" si="84"/>
        <v>0</v>
      </c>
      <c r="AN109" s="39">
        <f t="shared" si="110"/>
        <v>0</v>
      </c>
      <c r="AO109" s="45"/>
      <c r="AP109" s="31"/>
      <c r="AQ109" s="31"/>
    </row>
    <row r="110" spans="1:43" ht="15.75" customHeight="1" x14ac:dyDescent="0.25">
      <c r="A110" s="42" t="s">
        <v>74</v>
      </c>
      <c r="B110" s="43" t="s">
        <v>75</v>
      </c>
      <c r="C110" s="44" t="s">
        <v>104</v>
      </c>
      <c r="D110" s="45" t="s">
        <v>102</v>
      </c>
      <c r="E110" s="45" t="s">
        <v>102</v>
      </c>
      <c r="F110" s="45" t="s">
        <v>102</v>
      </c>
      <c r="G110" s="45" t="s">
        <v>102</v>
      </c>
      <c r="H110" s="39">
        <v>0</v>
      </c>
      <c r="I110" s="39">
        <f t="shared" si="114"/>
        <v>0</v>
      </c>
      <c r="J110" s="39">
        <v>0</v>
      </c>
      <c r="K110" s="33">
        <v>0</v>
      </c>
      <c r="L110" s="39">
        <v>0</v>
      </c>
      <c r="M110" s="39">
        <v>0</v>
      </c>
      <c r="N110" s="39">
        <v>0</v>
      </c>
      <c r="O110" s="39">
        <v>0</v>
      </c>
      <c r="P110" s="40">
        <f t="shared" si="115"/>
        <v>0</v>
      </c>
      <c r="Q110" s="40">
        <f t="shared" si="116"/>
        <v>0</v>
      </c>
      <c r="R110" s="40">
        <f t="shared" si="117"/>
        <v>0</v>
      </c>
      <c r="S110" s="40">
        <f t="shared" si="118"/>
        <v>0</v>
      </c>
      <c r="T110" s="40">
        <f t="shared" si="119"/>
        <v>0</v>
      </c>
      <c r="U110" s="41">
        <v>0</v>
      </c>
      <c r="V110" s="41">
        <v>0</v>
      </c>
      <c r="W110" s="39">
        <v>0</v>
      </c>
      <c r="X110" s="39">
        <v>0</v>
      </c>
      <c r="Y110" s="39">
        <f t="shared" si="120"/>
        <v>0</v>
      </c>
      <c r="Z110" s="39">
        <v>0</v>
      </c>
      <c r="AA110" s="39">
        <v>0</v>
      </c>
      <c r="AB110" s="39">
        <f t="shared" si="121"/>
        <v>0</v>
      </c>
      <c r="AC110" s="39">
        <v>0</v>
      </c>
      <c r="AD110" s="39">
        <f t="shared" si="59"/>
        <v>0</v>
      </c>
      <c r="AE110" s="39">
        <f t="shared" si="60"/>
        <v>0</v>
      </c>
      <c r="AF110" s="39">
        <f t="shared" si="60"/>
        <v>0</v>
      </c>
      <c r="AG110" s="39">
        <v>0</v>
      </c>
      <c r="AH110" s="39">
        <v>0</v>
      </c>
      <c r="AI110" s="39">
        <v>0</v>
      </c>
      <c r="AJ110" s="39">
        <v>0</v>
      </c>
      <c r="AK110" s="39">
        <v>0</v>
      </c>
      <c r="AL110" s="39">
        <v>0</v>
      </c>
      <c r="AM110" s="39">
        <f t="shared" si="84"/>
        <v>0</v>
      </c>
      <c r="AN110" s="39">
        <f t="shared" si="110"/>
        <v>0</v>
      </c>
      <c r="AO110" s="45"/>
      <c r="AP110" s="31"/>
      <c r="AQ110" s="31"/>
    </row>
    <row r="111" spans="1:43" ht="31.5" customHeight="1" x14ac:dyDescent="0.25">
      <c r="A111" s="42" t="s">
        <v>76</v>
      </c>
      <c r="B111" s="43" t="s">
        <v>77</v>
      </c>
      <c r="C111" s="44" t="s">
        <v>104</v>
      </c>
      <c r="D111" s="45" t="s">
        <v>102</v>
      </c>
      <c r="E111" s="45" t="s">
        <v>102</v>
      </c>
      <c r="F111" s="45" t="s">
        <v>102</v>
      </c>
      <c r="G111" s="45" t="s">
        <v>102</v>
      </c>
      <c r="H111" s="39">
        <v>0</v>
      </c>
      <c r="I111" s="39">
        <f t="shared" si="114"/>
        <v>0</v>
      </c>
      <c r="J111" s="39">
        <v>0</v>
      </c>
      <c r="K111" s="33">
        <v>0</v>
      </c>
      <c r="L111" s="39">
        <v>0</v>
      </c>
      <c r="M111" s="39">
        <v>0</v>
      </c>
      <c r="N111" s="39">
        <v>0</v>
      </c>
      <c r="O111" s="39">
        <v>0</v>
      </c>
      <c r="P111" s="40">
        <f t="shared" si="115"/>
        <v>0</v>
      </c>
      <c r="Q111" s="40">
        <f t="shared" si="116"/>
        <v>0</v>
      </c>
      <c r="R111" s="40">
        <f t="shared" si="117"/>
        <v>0</v>
      </c>
      <c r="S111" s="40">
        <f t="shared" si="118"/>
        <v>0</v>
      </c>
      <c r="T111" s="40">
        <f t="shared" si="119"/>
        <v>0</v>
      </c>
      <c r="U111" s="41">
        <v>0</v>
      </c>
      <c r="V111" s="41">
        <v>0</v>
      </c>
      <c r="W111" s="39">
        <v>0</v>
      </c>
      <c r="X111" s="39">
        <v>0</v>
      </c>
      <c r="Y111" s="39">
        <f t="shared" si="120"/>
        <v>0</v>
      </c>
      <c r="Z111" s="39">
        <v>0</v>
      </c>
      <c r="AA111" s="39">
        <v>0</v>
      </c>
      <c r="AB111" s="39">
        <f t="shared" si="121"/>
        <v>0</v>
      </c>
      <c r="AC111" s="39">
        <v>0</v>
      </c>
      <c r="AD111" s="39">
        <f t="shared" si="59"/>
        <v>0</v>
      </c>
      <c r="AE111" s="39">
        <f>AD111</f>
        <v>0</v>
      </c>
      <c r="AF111" s="39">
        <f t="shared" si="60"/>
        <v>0</v>
      </c>
      <c r="AG111" s="39">
        <v>0</v>
      </c>
      <c r="AH111" s="39">
        <v>0</v>
      </c>
      <c r="AI111" s="39">
        <v>0</v>
      </c>
      <c r="AJ111" s="39">
        <v>0</v>
      </c>
      <c r="AK111" s="39">
        <v>0</v>
      </c>
      <c r="AL111" s="39">
        <v>0</v>
      </c>
      <c r="AM111" s="39">
        <f t="shared" ref="AM111:AM137" si="122">AC111+AE111+AG111+AI111+AK111</f>
        <v>0</v>
      </c>
      <c r="AN111" s="39">
        <f t="shared" si="110"/>
        <v>0</v>
      </c>
      <c r="AO111" s="45"/>
      <c r="AP111" s="31"/>
      <c r="AQ111" s="31"/>
    </row>
    <row r="112" spans="1:43" ht="31.5" customHeight="1" x14ac:dyDescent="0.25">
      <c r="A112" s="42" t="s">
        <v>78</v>
      </c>
      <c r="B112" s="43" t="s">
        <v>79</v>
      </c>
      <c r="C112" s="44" t="s">
        <v>104</v>
      </c>
      <c r="D112" s="45" t="s">
        <v>102</v>
      </c>
      <c r="E112" s="45" t="s">
        <v>102</v>
      </c>
      <c r="F112" s="45" t="s">
        <v>102</v>
      </c>
      <c r="G112" s="45" t="s">
        <v>102</v>
      </c>
      <c r="H112" s="39">
        <v>0</v>
      </c>
      <c r="I112" s="39">
        <f t="shared" si="114"/>
        <v>0</v>
      </c>
      <c r="J112" s="39">
        <v>0</v>
      </c>
      <c r="K112" s="33">
        <v>0</v>
      </c>
      <c r="L112" s="39">
        <v>0</v>
      </c>
      <c r="M112" s="39">
        <v>0</v>
      </c>
      <c r="N112" s="39">
        <v>0</v>
      </c>
      <c r="O112" s="39">
        <v>0</v>
      </c>
      <c r="P112" s="40">
        <f t="shared" si="115"/>
        <v>0</v>
      </c>
      <c r="Q112" s="40">
        <f t="shared" si="116"/>
        <v>0</v>
      </c>
      <c r="R112" s="40">
        <f t="shared" si="117"/>
        <v>0</v>
      </c>
      <c r="S112" s="40">
        <f t="shared" si="118"/>
        <v>0</v>
      </c>
      <c r="T112" s="40">
        <f t="shared" si="119"/>
        <v>0</v>
      </c>
      <c r="U112" s="41">
        <v>0</v>
      </c>
      <c r="V112" s="41">
        <v>0</v>
      </c>
      <c r="W112" s="39">
        <v>0</v>
      </c>
      <c r="X112" s="39">
        <v>0</v>
      </c>
      <c r="Y112" s="39">
        <f t="shared" si="120"/>
        <v>0</v>
      </c>
      <c r="Z112" s="39">
        <v>0</v>
      </c>
      <c r="AA112" s="39">
        <v>0</v>
      </c>
      <c r="AB112" s="39">
        <f t="shared" si="121"/>
        <v>0</v>
      </c>
      <c r="AC112" s="39">
        <v>0</v>
      </c>
      <c r="AD112" s="39">
        <f t="shared" si="59"/>
        <v>0</v>
      </c>
      <c r="AE112" s="39">
        <f t="shared" si="60"/>
        <v>0</v>
      </c>
      <c r="AF112" s="39">
        <f t="shared" si="60"/>
        <v>0</v>
      </c>
      <c r="AG112" s="39">
        <v>0</v>
      </c>
      <c r="AH112" s="39">
        <v>0</v>
      </c>
      <c r="AI112" s="39">
        <v>0</v>
      </c>
      <c r="AJ112" s="39">
        <v>0</v>
      </c>
      <c r="AK112" s="39">
        <v>0</v>
      </c>
      <c r="AL112" s="39">
        <v>0</v>
      </c>
      <c r="AM112" s="39">
        <f t="shared" si="122"/>
        <v>0</v>
      </c>
      <c r="AN112" s="39">
        <f t="shared" si="110"/>
        <v>0</v>
      </c>
      <c r="AO112" s="45"/>
      <c r="AP112" s="31"/>
      <c r="AQ112" s="31"/>
    </row>
    <row r="113" spans="1:43" ht="31.5" customHeight="1" x14ac:dyDescent="0.25">
      <c r="A113" s="42" t="s">
        <v>80</v>
      </c>
      <c r="B113" s="43" t="s">
        <v>81</v>
      </c>
      <c r="C113" s="44" t="s">
        <v>104</v>
      </c>
      <c r="D113" s="45" t="s">
        <v>102</v>
      </c>
      <c r="E113" s="45" t="s">
        <v>102</v>
      </c>
      <c r="F113" s="45" t="s">
        <v>102</v>
      </c>
      <c r="G113" s="45" t="s">
        <v>102</v>
      </c>
      <c r="H113" s="39">
        <v>0</v>
      </c>
      <c r="I113" s="39">
        <f t="shared" si="114"/>
        <v>0</v>
      </c>
      <c r="J113" s="39">
        <v>0</v>
      </c>
      <c r="K113" s="33">
        <v>0</v>
      </c>
      <c r="L113" s="39">
        <v>0</v>
      </c>
      <c r="M113" s="39">
        <v>0</v>
      </c>
      <c r="N113" s="39">
        <v>0</v>
      </c>
      <c r="O113" s="39">
        <v>0</v>
      </c>
      <c r="P113" s="40">
        <f t="shared" si="115"/>
        <v>0</v>
      </c>
      <c r="Q113" s="40">
        <f t="shared" si="116"/>
        <v>0</v>
      </c>
      <c r="R113" s="40">
        <f t="shared" si="117"/>
        <v>0</v>
      </c>
      <c r="S113" s="40">
        <f t="shared" si="118"/>
        <v>0</v>
      </c>
      <c r="T113" s="40">
        <f t="shared" si="119"/>
        <v>0</v>
      </c>
      <c r="U113" s="41">
        <v>0</v>
      </c>
      <c r="V113" s="41">
        <v>0</v>
      </c>
      <c r="W113" s="39">
        <v>0</v>
      </c>
      <c r="X113" s="39">
        <v>0</v>
      </c>
      <c r="Y113" s="39">
        <f t="shared" si="120"/>
        <v>0</v>
      </c>
      <c r="Z113" s="39">
        <v>0</v>
      </c>
      <c r="AA113" s="39">
        <v>0</v>
      </c>
      <c r="AB113" s="39">
        <f t="shared" si="121"/>
        <v>0</v>
      </c>
      <c r="AC113" s="39">
        <v>0</v>
      </c>
      <c r="AD113" s="39">
        <f t="shared" si="59"/>
        <v>0</v>
      </c>
      <c r="AE113" s="39">
        <f t="shared" si="60"/>
        <v>0</v>
      </c>
      <c r="AF113" s="39">
        <f t="shared" si="60"/>
        <v>0</v>
      </c>
      <c r="AG113" s="39">
        <v>0</v>
      </c>
      <c r="AH113" s="39">
        <v>0</v>
      </c>
      <c r="AI113" s="39">
        <v>0</v>
      </c>
      <c r="AJ113" s="39">
        <v>0</v>
      </c>
      <c r="AK113" s="39">
        <v>0</v>
      </c>
      <c r="AL113" s="39">
        <v>0</v>
      </c>
      <c r="AM113" s="39">
        <f t="shared" si="122"/>
        <v>0</v>
      </c>
      <c r="AN113" s="39">
        <f t="shared" si="110"/>
        <v>0</v>
      </c>
      <c r="AO113" s="45"/>
      <c r="AP113" s="31"/>
      <c r="AQ113" s="31"/>
    </row>
    <row r="114" spans="1:43" ht="31.5" customHeight="1" x14ac:dyDescent="0.25">
      <c r="A114" s="42" t="s">
        <v>82</v>
      </c>
      <c r="B114" s="43" t="s">
        <v>83</v>
      </c>
      <c r="C114" s="44" t="s">
        <v>104</v>
      </c>
      <c r="D114" s="45" t="s">
        <v>102</v>
      </c>
      <c r="E114" s="45" t="s">
        <v>102</v>
      </c>
      <c r="F114" s="45" t="s">
        <v>102</v>
      </c>
      <c r="G114" s="45" t="s">
        <v>102</v>
      </c>
      <c r="H114" s="39">
        <v>0</v>
      </c>
      <c r="I114" s="39">
        <f t="shared" si="114"/>
        <v>0</v>
      </c>
      <c r="J114" s="39">
        <v>0</v>
      </c>
      <c r="K114" s="33">
        <v>0</v>
      </c>
      <c r="L114" s="39">
        <v>0</v>
      </c>
      <c r="M114" s="39">
        <v>0</v>
      </c>
      <c r="N114" s="39">
        <v>0</v>
      </c>
      <c r="O114" s="39">
        <v>0</v>
      </c>
      <c r="P114" s="40">
        <f t="shared" si="115"/>
        <v>0</v>
      </c>
      <c r="Q114" s="40">
        <f t="shared" si="116"/>
        <v>0</v>
      </c>
      <c r="R114" s="40">
        <f t="shared" si="117"/>
        <v>0</v>
      </c>
      <c r="S114" s="40">
        <f t="shared" si="118"/>
        <v>0</v>
      </c>
      <c r="T114" s="40">
        <f t="shared" si="119"/>
        <v>0</v>
      </c>
      <c r="U114" s="41">
        <v>0</v>
      </c>
      <c r="V114" s="41">
        <v>0</v>
      </c>
      <c r="W114" s="39">
        <v>0</v>
      </c>
      <c r="X114" s="39">
        <v>0</v>
      </c>
      <c r="Y114" s="39">
        <f t="shared" si="120"/>
        <v>0</v>
      </c>
      <c r="Z114" s="39">
        <v>0</v>
      </c>
      <c r="AA114" s="39">
        <v>0</v>
      </c>
      <c r="AB114" s="39">
        <f t="shared" si="121"/>
        <v>0</v>
      </c>
      <c r="AC114" s="39">
        <v>0</v>
      </c>
      <c r="AD114" s="39">
        <f t="shared" si="59"/>
        <v>0</v>
      </c>
      <c r="AE114" s="39">
        <f t="shared" si="60"/>
        <v>0</v>
      </c>
      <c r="AF114" s="39">
        <f t="shared" si="60"/>
        <v>0</v>
      </c>
      <c r="AG114" s="39">
        <v>0</v>
      </c>
      <c r="AH114" s="39">
        <v>0</v>
      </c>
      <c r="AI114" s="39">
        <v>0</v>
      </c>
      <c r="AJ114" s="39">
        <v>0</v>
      </c>
      <c r="AK114" s="39">
        <v>0</v>
      </c>
      <c r="AL114" s="39">
        <v>0</v>
      </c>
      <c r="AM114" s="39">
        <f t="shared" si="122"/>
        <v>0</v>
      </c>
      <c r="AN114" s="39">
        <f t="shared" si="110"/>
        <v>0</v>
      </c>
      <c r="AO114" s="45"/>
      <c r="AP114" s="31"/>
      <c r="AQ114" s="31"/>
    </row>
    <row r="115" spans="1:43" ht="31.5" x14ac:dyDescent="0.25">
      <c r="A115" s="42" t="s">
        <v>84</v>
      </c>
      <c r="B115" s="43" t="s">
        <v>85</v>
      </c>
      <c r="C115" s="44" t="s">
        <v>104</v>
      </c>
      <c r="D115" s="45" t="s">
        <v>102</v>
      </c>
      <c r="E115" s="45" t="s">
        <v>102</v>
      </c>
      <c r="F115" s="45" t="s">
        <v>102</v>
      </c>
      <c r="G115" s="45" t="s">
        <v>102</v>
      </c>
      <c r="H115" s="39">
        <v>0</v>
      </c>
      <c r="I115" s="39">
        <f t="shared" si="114"/>
        <v>0</v>
      </c>
      <c r="J115" s="39">
        <v>0</v>
      </c>
      <c r="K115" s="33">
        <v>0</v>
      </c>
      <c r="L115" s="39">
        <v>0</v>
      </c>
      <c r="M115" s="39">
        <v>0</v>
      </c>
      <c r="N115" s="39">
        <v>0</v>
      </c>
      <c r="O115" s="39">
        <v>0</v>
      </c>
      <c r="P115" s="40">
        <f t="shared" si="115"/>
        <v>0</v>
      </c>
      <c r="Q115" s="40">
        <f t="shared" si="116"/>
        <v>0</v>
      </c>
      <c r="R115" s="40">
        <f t="shared" si="117"/>
        <v>0</v>
      </c>
      <c r="S115" s="40">
        <f t="shared" si="118"/>
        <v>0</v>
      </c>
      <c r="T115" s="40">
        <f t="shared" si="119"/>
        <v>0</v>
      </c>
      <c r="U115" s="41">
        <v>0</v>
      </c>
      <c r="V115" s="41">
        <v>0</v>
      </c>
      <c r="W115" s="39">
        <v>0</v>
      </c>
      <c r="X115" s="39">
        <v>0</v>
      </c>
      <c r="Y115" s="39">
        <f t="shared" si="120"/>
        <v>0</v>
      </c>
      <c r="Z115" s="39">
        <v>0</v>
      </c>
      <c r="AA115" s="39">
        <v>0</v>
      </c>
      <c r="AB115" s="39">
        <f t="shared" si="121"/>
        <v>0</v>
      </c>
      <c r="AC115" s="39">
        <v>0</v>
      </c>
      <c r="AD115" s="39">
        <f t="shared" si="59"/>
        <v>0</v>
      </c>
      <c r="AE115" s="39">
        <f t="shared" si="60"/>
        <v>0</v>
      </c>
      <c r="AF115" s="39">
        <f t="shared" si="60"/>
        <v>0</v>
      </c>
      <c r="AG115" s="39">
        <v>0</v>
      </c>
      <c r="AH115" s="39">
        <v>0</v>
      </c>
      <c r="AI115" s="39">
        <v>0</v>
      </c>
      <c r="AJ115" s="39">
        <v>0</v>
      </c>
      <c r="AK115" s="39">
        <v>0</v>
      </c>
      <c r="AL115" s="39">
        <v>0</v>
      </c>
      <c r="AM115" s="39">
        <f t="shared" si="122"/>
        <v>0</v>
      </c>
      <c r="AN115" s="39">
        <f t="shared" si="110"/>
        <v>0</v>
      </c>
      <c r="AO115" s="45"/>
      <c r="AP115" s="31"/>
      <c r="AQ115" s="31"/>
    </row>
    <row r="116" spans="1:43" ht="15.75" customHeight="1" x14ac:dyDescent="0.25">
      <c r="A116" s="42" t="s">
        <v>86</v>
      </c>
      <c r="B116" s="43" t="s">
        <v>87</v>
      </c>
      <c r="C116" s="44" t="s">
        <v>104</v>
      </c>
      <c r="D116" s="45" t="s">
        <v>102</v>
      </c>
      <c r="E116" s="45" t="s">
        <v>102</v>
      </c>
      <c r="F116" s="45" t="s">
        <v>102</v>
      </c>
      <c r="G116" s="45" t="s">
        <v>102</v>
      </c>
      <c r="H116" s="39">
        <v>0</v>
      </c>
      <c r="I116" s="39">
        <f t="shared" si="114"/>
        <v>0</v>
      </c>
      <c r="J116" s="39">
        <v>0</v>
      </c>
      <c r="K116" s="33">
        <v>0</v>
      </c>
      <c r="L116" s="39">
        <v>0</v>
      </c>
      <c r="M116" s="39">
        <v>0</v>
      </c>
      <c r="N116" s="39">
        <v>0</v>
      </c>
      <c r="O116" s="39">
        <v>0</v>
      </c>
      <c r="P116" s="40">
        <f t="shared" si="115"/>
        <v>0</v>
      </c>
      <c r="Q116" s="40">
        <f t="shared" si="116"/>
        <v>0</v>
      </c>
      <c r="R116" s="40">
        <f t="shared" si="117"/>
        <v>0</v>
      </c>
      <c r="S116" s="40">
        <f t="shared" si="118"/>
        <v>0</v>
      </c>
      <c r="T116" s="40">
        <f t="shared" si="119"/>
        <v>0</v>
      </c>
      <c r="U116" s="41">
        <v>0</v>
      </c>
      <c r="V116" s="41">
        <v>0</v>
      </c>
      <c r="W116" s="39">
        <v>0</v>
      </c>
      <c r="X116" s="39">
        <v>0</v>
      </c>
      <c r="Y116" s="39">
        <f t="shared" si="120"/>
        <v>0</v>
      </c>
      <c r="Z116" s="39">
        <v>0</v>
      </c>
      <c r="AA116" s="39">
        <v>0</v>
      </c>
      <c r="AB116" s="39">
        <f t="shared" si="121"/>
        <v>0</v>
      </c>
      <c r="AC116" s="39">
        <v>0</v>
      </c>
      <c r="AD116" s="39">
        <f t="shared" si="59"/>
        <v>0</v>
      </c>
      <c r="AE116" s="39">
        <f t="shared" si="60"/>
        <v>0</v>
      </c>
      <c r="AF116" s="39">
        <f t="shared" si="60"/>
        <v>0</v>
      </c>
      <c r="AG116" s="39">
        <v>0</v>
      </c>
      <c r="AH116" s="39">
        <v>0</v>
      </c>
      <c r="AI116" s="39">
        <v>0</v>
      </c>
      <c r="AJ116" s="39">
        <v>0</v>
      </c>
      <c r="AK116" s="39">
        <v>0</v>
      </c>
      <c r="AL116" s="39">
        <v>0</v>
      </c>
      <c r="AM116" s="39">
        <f t="shared" si="122"/>
        <v>0</v>
      </c>
      <c r="AN116" s="39">
        <f t="shared" si="110"/>
        <v>0</v>
      </c>
      <c r="AO116" s="45"/>
      <c r="AP116" s="31"/>
      <c r="AQ116" s="31"/>
    </row>
    <row r="117" spans="1:43" ht="31.5" x14ac:dyDescent="0.25">
      <c r="A117" s="42" t="s">
        <v>88</v>
      </c>
      <c r="B117" s="43" t="s">
        <v>89</v>
      </c>
      <c r="C117" s="44" t="s">
        <v>104</v>
      </c>
      <c r="D117" s="45" t="s">
        <v>102</v>
      </c>
      <c r="E117" s="45" t="s">
        <v>102</v>
      </c>
      <c r="F117" s="45" t="s">
        <v>102</v>
      </c>
      <c r="G117" s="45" t="s">
        <v>102</v>
      </c>
      <c r="H117" s="39">
        <v>0</v>
      </c>
      <c r="I117" s="39">
        <f t="shared" si="114"/>
        <v>0</v>
      </c>
      <c r="J117" s="39">
        <v>0</v>
      </c>
      <c r="K117" s="33">
        <v>0</v>
      </c>
      <c r="L117" s="39">
        <v>0</v>
      </c>
      <c r="M117" s="39">
        <v>0</v>
      </c>
      <c r="N117" s="39">
        <v>0</v>
      </c>
      <c r="O117" s="39">
        <v>0</v>
      </c>
      <c r="P117" s="40">
        <f t="shared" si="115"/>
        <v>0</v>
      </c>
      <c r="Q117" s="40">
        <f t="shared" si="116"/>
        <v>0</v>
      </c>
      <c r="R117" s="40">
        <f t="shared" si="117"/>
        <v>0</v>
      </c>
      <c r="S117" s="40">
        <f t="shared" si="118"/>
        <v>0</v>
      </c>
      <c r="T117" s="40">
        <f t="shared" si="119"/>
        <v>0</v>
      </c>
      <c r="U117" s="41">
        <v>0</v>
      </c>
      <c r="V117" s="41">
        <v>0</v>
      </c>
      <c r="W117" s="39">
        <v>0</v>
      </c>
      <c r="X117" s="39">
        <v>0</v>
      </c>
      <c r="Y117" s="39">
        <f t="shared" si="120"/>
        <v>0</v>
      </c>
      <c r="Z117" s="39">
        <v>0</v>
      </c>
      <c r="AA117" s="39">
        <v>0</v>
      </c>
      <c r="AB117" s="39">
        <f t="shared" si="121"/>
        <v>0</v>
      </c>
      <c r="AC117" s="39">
        <v>0</v>
      </c>
      <c r="AD117" s="39">
        <f t="shared" ref="AD117:AD136" si="123">AC117</f>
        <v>0</v>
      </c>
      <c r="AE117" s="39">
        <f t="shared" ref="AE117:AF136" si="124">AD117</f>
        <v>0</v>
      </c>
      <c r="AF117" s="39">
        <f t="shared" si="124"/>
        <v>0</v>
      </c>
      <c r="AG117" s="39">
        <v>0</v>
      </c>
      <c r="AH117" s="39">
        <v>0</v>
      </c>
      <c r="AI117" s="39">
        <v>0</v>
      </c>
      <c r="AJ117" s="39">
        <v>0</v>
      </c>
      <c r="AK117" s="39">
        <v>0</v>
      </c>
      <c r="AL117" s="39">
        <v>0</v>
      </c>
      <c r="AM117" s="39">
        <f t="shared" si="122"/>
        <v>0</v>
      </c>
      <c r="AN117" s="39">
        <f t="shared" si="110"/>
        <v>0</v>
      </c>
      <c r="AO117" s="45"/>
      <c r="AP117" s="31"/>
      <c r="AQ117" s="31"/>
    </row>
    <row r="118" spans="1:43" ht="31.5" x14ac:dyDescent="0.25">
      <c r="A118" s="42" t="s">
        <v>90</v>
      </c>
      <c r="B118" s="43" t="s">
        <v>91</v>
      </c>
      <c r="C118" s="44" t="s">
        <v>104</v>
      </c>
      <c r="D118" s="45" t="s">
        <v>102</v>
      </c>
      <c r="E118" s="45" t="s">
        <v>102</v>
      </c>
      <c r="F118" s="45" t="s">
        <v>102</v>
      </c>
      <c r="G118" s="45" t="s">
        <v>102</v>
      </c>
      <c r="H118" s="39">
        <v>0</v>
      </c>
      <c r="I118" s="39">
        <f t="shared" si="114"/>
        <v>0</v>
      </c>
      <c r="J118" s="39">
        <v>0</v>
      </c>
      <c r="K118" s="33">
        <v>0</v>
      </c>
      <c r="L118" s="39">
        <v>0</v>
      </c>
      <c r="M118" s="39">
        <v>0</v>
      </c>
      <c r="N118" s="39">
        <v>0</v>
      </c>
      <c r="O118" s="39">
        <v>0</v>
      </c>
      <c r="P118" s="40">
        <f t="shared" si="115"/>
        <v>0</v>
      </c>
      <c r="Q118" s="40">
        <f t="shared" si="116"/>
        <v>0</v>
      </c>
      <c r="R118" s="40">
        <f t="shared" si="117"/>
        <v>0</v>
      </c>
      <c r="S118" s="40">
        <f t="shared" si="118"/>
        <v>0</v>
      </c>
      <c r="T118" s="40">
        <f t="shared" si="119"/>
        <v>0</v>
      </c>
      <c r="U118" s="41">
        <v>0</v>
      </c>
      <c r="V118" s="41">
        <v>0</v>
      </c>
      <c r="W118" s="39">
        <v>0</v>
      </c>
      <c r="X118" s="39">
        <v>0</v>
      </c>
      <c r="Y118" s="39">
        <f t="shared" si="120"/>
        <v>0</v>
      </c>
      <c r="Z118" s="39">
        <v>0</v>
      </c>
      <c r="AA118" s="39">
        <v>0</v>
      </c>
      <c r="AB118" s="39">
        <f t="shared" si="121"/>
        <v>0</v>
      </c>
      <c r="AC118" s="39">
        <v>0</v>
      </c>
      <c r="AD118" s="39">
        <f t="shared" si="123"/>
        <v>0</v>
      </c>
      <c r="AE118" s="39">
        <f t="shared" si="124"/>
        <v>0</v>
      </c>
      <c r="AF118" s="39">
        <f t="shared" si="124"/>
        <v>0</v>
      </c>
      <c r="AG118" s="39">
        <v>0</v>
      </c>
      <c r="AH118" s="39">
        <v>0</v>
      </c>
      <c r="AI118" s="39">
        <v>0</v>
      </c>
      <c r="AJ118" s="39">
        <v>0</v>
      </c>
      <c r="AK118" s="39">
        <v>0</v>
      </c>
      <c r="AL118" s="39">
        <v>0</v>
      </c>
      <c r="AM118" s="39">
        <f t="shared" si="122"/>
        <v>0</v>
      </c>
      <c r="AN118" s="39">
        <f t="shared" si="110"/>
        <v>0</v>
      </c>
      <c r="AO118" s="45"/>
      <c r="AP118" s="31"/>
      <c r="AQ118" s="31"/>
    </row>
    <row r="119" spans="1:43" ht="31.5" x14ac:dyDescent="0.25">
      <c r="A119" s="42" t="s">
        <v>92</v>
      </c>
      <c r="B119" s="43" t="s">
        <v>93</v>
      </c>
      <c r="C119" s="44" t="s">
        <v>104</v>
      </c>
      <c r="D119" s="45" t="s">
        <v>102</v>
      </c>
      <c r="E119" s="45" t="s">
        <v>102</v>
      </c>
      <c r="F119" s="45" t="s">
        <v>102</v>
      </c>
      <c r="G119" s="45" t="s">
        <v>102</v>
      </c>
      <c r="H119" s="39">
        <v>0</v>
      </c>
      <c r="I119" s="39">
        <f t="shared" si="114"/>
        <v>0</v>
      </c>
      <c r="J119" s="39">
        <v>0</v>
      </c>
      <c r="K119" s="33">
        <v>0</v>
      </c>
      <c r="L119" s="39">
        <v>0</v>
      </c>
      <c r="M119" s="39">
        <v>0</v>
      </c>
      <c r="N119" s="39">
        <v>0</v>
      </c>
      <c r="O119" s="39">
        <v>0</v>
      </c>
      <c r="P119" s="40">
        <f t="shared" si="115"/>
        <v>0</v>
      </c>
      <c r="Q119" s="40">
        <f t="shared" si="116"/>
        <v>0</v>
      </c>
      <c r="R119" s="40">
        <f t="shared" si="117"/>
        <v>0</v>
      </c>
      <c r="S119" s="40">
        <f t="shared" si="118"/>
        <v>0</v>
      </c>
      <c r="T119" s="40">
        <f t="shared" si="119"/>
        <v>0</v>
      </c>
      <c r="U119" s="41">
        <v>0</v>
      </c>
      <c r="V119" s="41">
        <v>0</v>
      </c>
      <c r="W119" s="39">
        <v>0</v>
      </c>
      <c r="X119" s="39">
        <v>0</v>
      </c>
      <c r="Y119" s="39">
        <f t="shared" si="120"/>
        <v>0</v>
      </c>
      <c r="Z119" s="39">
        <v>0</v>
      </c>
      <c r="AA119" s="39">
        <v>0</v>
      </c>
      <c r="AB119" s="39">
        <f t="shared" si="121"/>
        <v>0</v>
      </c>
      <c r="AC119" s="39">
        <v>0</v>
      </c>
      <c r="AD119" s="39">
        <f t="shared" si="123"/>
        <v>0</v>
      </c>
      <c r="AE119" s="39">
        <f t="shared" si="124"/>
        <v>0</v>
      </c>
      <c r="AF119" s="39">
        <f t="shared" si="124"/>
        <v>0</v>
      </c>
      <c r="AG119" s="39">
        <v>0</v>
      </c>
      <c r="AH119" s="39">
        <v>0</v>
      </c>
      <c r="AI119" s="39">
        <v>0</v>
      </c>
      <c r="AJ119" s="39">
        <v>0</v>
      </c>
      <c r="AK119" s="39">
        <v>0</v>
      </c>
      <c r="AL119" s="39">
        <v>0</v>
      </c>
      <c r="AM119" s="39">
        <f t="shared" si="122"/>
        <v>0</v>
      </c>
      <c r="AN119" s="39">
        <f t="shared" si="110"/>
        <v>0</v>
      </c>
      <c r="AO119" s="45"/>
      <c r="AP119" s="31"/>
      <c r="AQ119" s="31"/>
    </row>
    <row r="120" spans="1:43" ht="31.5" x14ac:dyDescent="0.25">
      <c r="A120" s="42" t="s">
        <v>94</v>
      </c>
      <c r="B120" s="43" t="s">
        <v>95</v>
      </c>
      <c r="C120" s="44" t="s">
        <v>104</v>
      </c>
      <c r="D120" s="45" t="s">
        <v>102</v>
      </c>
      <c r="E120" s="45" t="s">
        <v>102</v>
      </c>
      <c r="F120" s="45" t="s">
        <v>102</v>
      </c>
      <c r="G120" s="45" t="s">
        <v>102</v>
      </c>
      <c r="H120" s="39">
        <v>0</v>
      </c>
      <c r="I120" s="39">
        <f t="shared" si="114"/>
        <v>0</v>
      </c>
      <c r="J120" s="39">
        <v>0</v>
      </c>
      <c r="K120" s="33">
        <v>0</v>
      </c>
      <c r="L120" s="39">
        <v>0</v>
      </c>
      <c r="M120" s="39">
        <v>0</v>
      </c>
      <c r="N120" s="39">
        <v>0</v>
      </c>
      <c r="O120" s="39">
        <v>0</v>
      </c>
      <c r="P120" s="40">
        <f t="shared" si="115"/>
        <v>0</v>
      </c>
      <c r="Q120" s="40">
        <f t="shared" si="116"/>
        <v>0</v>
      </c>
      <c r="R120" s="40">
        <f t="shared" si="117"/>
        <v>0</v>
      </c>
      <c r="S120" s="40">
        <f t="shared" si="118"/>
        <v>0</v>
      </c>
      <c r="T120" s="40">
        <f t="shared" si="119"/>
        <v>0</v>
      </c>
      <c r="U120" s="41">
        <v>0</v>
      </c>
      <c r="V120" s="41">
        <v>0</v>
      </c>
      <c r="W120" s="39">
        <v>0</v>
      </c>
      <c r="X120" s="39">
        <v>0</v>
      </c>
      <c r="Y120" s="39">
        <f t="shared" si="120"/>
        <v>0</v>
      </c>
      <c r="Z120" s="39">
        <v>0</v>
      </c>
      <c r="AA120" s="39">
        <v>0</v>
      </c>
      <c r="AB120" s="39">
        <f t="shared" si="121"/>
        <v>0</v>
      </c>
      <c r="AC120" s="39">
        <v>0</v>
      </c>
      <c r="AD120" s="39">
        <f t="shared" si="123"/>
        <v>0</v>
      </c>
      <c r="AE120" s="39">
        <f t="shared" si="124"/>
        <v>0</v>
      </c>
      <c r="AF120" s="39">
        <f t="shared" si="124"/>
        <v>0</v>
      </c>
      <c r="AG120" s="39">
        <v>0</v>
      </c>
      <c r="AH120" s="39">
        <v>0</v>
      </c>
      <c r="AI120" s="39">
        <v>0</v>
      </c>
      <c r="AJ120" s="39">
        <v>0</v>
      </c>
      <c r="AK120" s="39">
        <v>0</v>
      </c>
      <c r="AL120" s="39">
        <v>0</v>
      </c>
      <c r="AM120" s="39">
        <f t="shared" si="122"/>
        <v>0</v>
      </c>
      <c r="AN120" s="39">
        <f t="shared" si="110"/>
        <v>0</v>
      </c>
      <c r="AO120" s="45"/>
      <c r="AP120" s="31"/>
      <c r="AQ120" s="31"/>
    </row>
    <row r="121" spans="1:43" ht="31.5" x14ac:dyDescent="0.25">
      <c r="A121" s="42" t="s">
        <v>96</v>
      </c>
      <c r="B121" s="43" t="s">
        <v>97</v>
      </c>
      <c r="C121" s="44" t="s">
        <v>104</v>
      </c>
      <c r="D121" s="45" t="s">
        <v>102</v>
      </c>
      <c r="E121" s="56" t="s">
        <v>102</v>
      </c>
      <c r="F121" s="56" t="s">
        <v>102</v>
      </c>
      <c r="G121" s="45" t="s">
        <v>102</v>
      </c>
      <c r="H121" s="39">
        <v>0</v>
      </c>
      <c r="I121" s="39">
        <f t="shared" si="114"/>
        <v>0</v>
      </c>
      <c r="J121" s="39">
        <v>0</v>
      </c>
      <c r="K121" s="33">
        <v>0</v>
      </c>
      <c r="L121" s="39">
        <v>0</v>
      </c>
      <c r="M121" s="39">
        <v>0</v>
      </c>
      <c r="N121" s="39">
        <v>0</v>
      </c>
      <c r="O121" s="39">
        <v>0</v>
      </c>
      <c r="P121" s="40">
        <f t="shared" si="115"/>
        <v>0</v>
      </c>
      <c r="Q121" s="40">
        <f t="shared" si="116"/>
        <v>0</v>
      </c>
      <c r="R121" s="40">
        <f t="shared" si="117"/>
        <v>0</v>
      </c>
      <c r="S121" s="40">
        <f t="shared" si="118"/>
        <v>0</v>
      </c>
      <c r="T121" s="40">
        <f t="shared" si="119"/>
        <v>0</v>
      </c>
      <c r="U121" s="41">
        <v>0</v>
      </c>
      <c r="V121" s="41">
        <v>0</v>
      </c>
      <c r="W121" s="39">
        <v>0</v>
      </c>
      <c r="X121" s="39">
        <v>0</v>
      </c>
      <c r="Y121" s="39">
        <f t="shared" si="120"/>
        <v>0</v>
      </c>
      <c r="Z121" s="39">
        <v>0</v>
      </c>
      <c r="AA121" s="39">
        <v>0</v>
      </c>
      <c r="AB121" s="39">
        <f t="shared" si="121"/>
        <v>0</v>
      </c>
      <c r="AC121" s="39">
        <v>0</v>
      </c>
      <c r="AD121" s="39">
        <f t="shared" si="123"/>
        <v>0</v>
      </c>
      <c r="AE121" s="39">
        <f t="shared" si="124"/>
        <v>0</v>
      </c>
      <c r="AF121" s="39">
        <f t="shared" si="124"/>
        <v>0</v>
      </c>
      <c r="AG121" s="39">
        <v>0</v>
      </c>
      <c r="AH121" s="39">
        <v>0</v>
      </c>
      <c r="AI121" s="39">
        <v>0</v>
      </c>
      <c r="AJ121" s="39">
        <v>0</v>
      </c>
      <c r="AK121" s="39">
        <v>0</v>
      </c>
      <c r="AL121" s="39">
        <v>0</v>
      </c>
      <c r="AM121" s="39">
        <f t="shared" si="122"/>
        <v>0</v>
      </c>
      <c r="AN121" s="39">
        <f t="shared" si="110"/>
        <v>0</v>
      </c>
      <c r="AO121" s="40"/>
      <c r="AP121" s="31"/>
      <c r="AQ121" s="31"/>
    </row>
    <row r="122" spans="1:43" ht="31.5" x14ac:dyDescent="0.25">
      <c r="A122" s="42" t="s">
        <v>98</v>
      </c>
      <c r="B122" s="43" t="s">
        <v>99</v>
      </c>
      <c r="C122" s="44" t="s">
        <v>104</v>
      </c>
      <c r="D122" s="45" t="s">
        <v>102</v>
      </c>
      <c r="E122" s="54" t="s">
        <v>102</v>
      </c>
      <c r="F122" s="54" t="s">
        <v>102</v>
      </c>
      <c r="G122" s="45" t="s">
        <v>102</v>
      </c>
      <c r="H122" s="39">
        <v>0</v>
      </c>
      <c r="I122" s="39">
        <f t="shared" si="114"/>
        <v>0</v>
      </c>
      <c r="J122" s="39">
        <v>0</v>
      </c>
      <c r="K122" s="33">
        <v>0</v>
      </c>
      <c r="L122" s="39">
        <v>0</v>
      </c>
      <c r="M122" s="39">
        <v>0</v>
      </c>
      <c r="N122" s="39">
        <v>0</v>
      </c>
      <c r="O122" s="39">
        <v>0</v>
      </c>
      <c r="P122" s="40">
        <f t="shared" si="115"/>
        <v>0</v>
      </c>
      <c r="Q122" s="40">
        <f t="shared" si="116"/>
        <v>0</v>
      </c>
      <c r="R122" s="40">
        <f t="shared" si="117"/>
        <v>0</v>
      </c>
      <c r="S122" s="40">
        <f t="shared" si="118"/>
        <v>0</v>
      </c>
      <c r="T122" s="40">
        <f t="shared" si="119"/>
        <v>0</v>
      </c>
      <c r="U122" s="41">
        <v>0</v>
      </c>
      <c r="V122" s="41">
        <v>0</v>
      </c>
      <c r="W122" s="39">
        <v>0</v>
      </c>
      <c r="X122" s="39">
        <v>0</v>
      </c>
      <c r="Y122" s="39">
        <f t="shared" si="120"/>
        <v>0</v>
      </c>
      <c r="Z122" s="39">
        <v>0</v>
      </c>
      <c r="AA122" s="39">
        <v>0</v>
      </c>
      <c r="AB122" s="39">
        <f t="shared" si="121"/>
        <v>0</v>
      </c>
      <c r="AC122" s="39">
        <v>0</v>
      </c>
      <c r="AD122" s="39">
        <f t="shared" si="123"/>
        <v>0</v>
      </c>
      <c r="AE122" s="39">
        <f t="shared" si="124"/>
        <v>0</v>
      </c>
      <c r="AF122" s="39">
        <f t="shared" si="124"/>
        <v>0</v>
      </c>
      <c r="AG122" s="39">
        <v>0</v>
      </c>
      <c r="AH122" s="39">
        <v>0</v>
      </c>
      <c r="AI122" s="39">
        <v>0</v>
      </c>
      <c r="AJ122" s="39">
        <v>0</v>
      </c>
      <c r="AK122" s="39">
        <v>0</v>
      </c>
      <c r="AL122" s="39">
        <v>0</v>
      </c>
      <c r="AM122" s="39">
        <f t="shared" si="122"/>
        <v>0</v>
      </c>
      <c r="AN122" s="39">
        <f t="shared" si="110"/>
        <v>0</v>
      </c>
      <c r="AO122" s="45"/>
      <c r="AP122" s="31"/>
      <c r="AQ122" s="31"/>
    </row>
    <row r="123" spans="1:43" ht="19.5" customHeight="1" x14ac:dyDescent="0.25">
      <c r="A123" s="42" t="s">
        <v>100</v>
      </c>
      <c r="B123" s="43" t="s">
        <v>101</v>
      </c>
      <c r="C123" s="44" t="s">
        <v>104</v>
      </c>
      <c r="D123" s="45" t="s">
        <v>102</v>
      </c>
      <c r="E123" s="56" t="s">
        <v>102</v>
      </c>
      <c r="F123" s="56" t="s">
        <v>102</v>
      </c>
      <c r="G123" s="56" t="s">
        <v>102</v>
      </c>
      <c r="H123" s="40">
        <f>SUM(H124:H140)</f>
        <v>0.8710067595434251</v>
      </c>
      <c r="I123" s="40">
        <f t="shared" ref="I123:AM123" si="125">SUM(I124:I140)</f>
        <v>0.8710067595434251</v>
      </c>
      <c r="J123" s="40">
        <f t="shared" si="125"/>
        <v>0</v>
      </c>
      <c r="K123" s="33">
        <v>142.98325202572548</v>
      </c>
      <c r="L123" s="40">
        <f t="shared" si="125"/>
        <v>0</v>
      </c>
      <c r="M123" s="40">
        <f t="shared" si="125"/>
        <v>0.61961587839981691</v>
      </c>
      <c r="N123" s="40">
        <f t="shared" si="125"/>
        <v>142.36363581399235</v>
      </c>
      <c r="O123" s="40">
        <f t="shared" si="125"/>
        <v>0</v>
      </c>
      <c r="P123" s="40">
        <f>SUM(P124:P143)</f>
        <v>83.682466178881015</v>
      </c>
      <c r="Q123" s="40">
        <f t="shared" ref="Q123:T123" si="126">SUM(Q124:Q143)</f>
        <v>0</v>
      </c>
      <c r="R123" s="40">
        <f t="shared" si="126"/>
        <v>0.61961587839981691</v>
      </c>
      <c r="S123" s="40">
        <f t="shared" si="126"/>
        <v>83.062850300481188</v>
      </c>
      <c r="T123" s="40">
        <f t="shared" si="126"/>
        <v>0</v>
      </c>
      <c r="U123" s="40">
        <f t="shared" si="125"/>
        <v>0</v>
      </c>
      <c r="V123" s="40">
        <f t="shared" si="125"/>
        <v>0</v>
      </c>
      <c r="W123" s="40">
        <f t="shared" si="125"/>
        <v>0.86143075954342507</v>
      </c>
      <c r="X123" s="40">
        <v>65.093660434571603</v>
      </c>
      <c r="Y123" s="40">
        <f t="shared" si="125"/>
        <v>0.86143075954342507</v>
      </c>
      <c r="Z123" s="40">
        <f>65.0454675465716/1.2</f>
        <v>54.20455628880967</v>
      </c>
      <c r="AA123" s="40">
        <f t="shared" si="125"/>
        <v>0</v>
      </c>
      <c r="AB123" s="40">
        <f t="shared" si="125"/>
        <v>0</v>
      </c>
      <c r="AC123" s="40">
        <f t="shared" si="125"/>
        <v>24.301665009457686</v>
      </c>
      <c r="AD123" s="40">
        <f t="shared" si="125"/>
        <v>23.174087693333334</v>
      </c>
      <c r="AE123" s="40">
        <f t="shared" si="125"/>
        <v>6.0818119474581103</v>
      </c>
      <c r="AF123" s="40">
        <f t="shared" si="125"/>
        <v>6.213551196737999</v>
      </c>
      <c r="AG123" s="40">
        <f t="shared" si="125"/>
        <v>9.027099999999999E-2</v>
      </c>
      <c r="AH123" s="40">
        <f t="shared" si="125"/>
        <v>9.027099999999999E-2</v>
      </c>
      <c r="AI123" s="40">
        <f>SUM(AI124:AI143)</f>
        <v>64.47341294278506</v>
      </c>
      <c r="AJ123" s="40">
        <f>SUM(AJ124:AJ143)</f>
        <v>6.1684651627850577</v>
      </c>
      <c r="AK123" s="40">
        <f t="shared" si="125"/>
        <v>48.036091126024608</v>
      </c>
      <c r="AL123" s="40">
        <f t="shared" si="125"/>
        <v>48.036091126024608</v>
      </c>
      <c r="AM123" s="40">
        <f t="shared" si="125"/>
        <v>142.98325202572545</v>
      </c>
      <c r="AN123" s="40">
        <f>SUM(AN124:AN143)</f>
        <v>83.682466178881015</v>
      </c>
      <c r="AO123" s="60"/>
      <c r="AP123" s="31"/>
      <c r="AQ123" s="31"/>
    </row>
    <row r="124" spans="1:43" ht="79.5" customHeight="1" x14ac:dyDescent="0.25">
      <c r="A124" s="46" t="s">
        <v>108</v>
      </c>
      <c r="B124" s="47" t="s">
        <v>158</v>
      </c>
      <c r="C124" s="60" t="s">
        <v>206</v>
      </c>
      <c r="D124" s="45" t="s">
        <v>111</v>
      </c>
      <c r="E124" s="45">
        <v>2021</v>
      </c>
      <c r="F124" s="45">
        <v>2021</v>
      </c>
      <c r="G124" s="45">
        <v>2021</v>
      </c>
      <c r="H124" s="39" t="s">
        <v>102</v>
      </c>
      <c r="I124" s="39" t="s">
        <v>102</v>
      </c>
      <c r="J124" s="39">
        <v>0</v>
      </c>
      <c r="K124" s="33">
        <v>1.7036801126099999</v>
      </c>
      <c r="L124" s="39">
        <v>0</v>
      </c>
      <c r="M124" s="39">
        <v>0</v>
      </c>
      <c r="N124" s="39">
        <f t="shared" ref="N124:N129" si="127">K124</f>
        <v>1.7036801126099999</v>
      </c>
      <c r="O124" s="39">
        <v>0</v>
      </c>
      <c r="P124" s="40">
        <f t="shared" ref="P124:P140" si="128">SUM(Q124:T124)</f>
        <v>1.8685</v>
      </c>
      <c r="Q124" s="40">
        <f t="shared" ref="Q124:R128" si="129">L124</f>
        <v>0</v>
      </c>
      <c r="R124" s="40">
        <f t="shared" si="129"/>
        <v>0</v>
      </c>
      <c r="S124" s="40">
        <v>1.8685</v>
      </c>
      <c r="T124" s="40">
        <f>O124</f>
        <v>0</v>
      </c>
      <c r="U124" s="41">
        <v>0</v>
      </c>
      <c r="V124" s="41">
        <v>0</v>
      </c>
      <c r="W124" s="39">
        <v>0</v>
      </c>
      <c r="X124" s="39">
        <v>0</v>
      </c>
      <c r="Y124" s="39">
        <f t="shared" ref="Y124:Y128" si="130">W124</f>
        <v>0</v>
      </c>
      <c r="Z124" s="39">
        <v>0</v>
      </c>
      <c r="AA124" s="39">
        <v>0</v>
      </c>
      <c r="AB124" s="39">
        <f t="shared" ref="AB124:AB133" si="131">AA124</f>
        <v>0</v>
      </c>
      <c r="AC124" s="39">
        <v>0</v>
      </c>
      <c r="AD124" s="39">
        <f t="shared" si="123"/>
        <v>0</v>
      </c>
      <c r="AE124" s="39">
        <v>1.7036801126099999</v>
      </c>
      <c r="AF124" s="39">
        <f>P124</f>
        <v>1.8685</v>
      </c>
      <c r="AG124" s="39">
        <v>0</v>
      </c>
      <c r="AH124" s="39">
        <f>AH125+AH130+AH133+AH146</f>
        <v>0</v>
      </c>
      <c r="AI124" s="39">
        <v>0</v>
      </c>
      <c r="AJ124" s="39">
        <v>0</v>
      </c>
      <c r="AK124" s="39">
        <v>0</v>
      </c>
      <c r="AL124" s="39">
        <v>0</v>
      </c>
      <c r="AM124" s="39">
        <f t="shared" si="122"/>
        <v>1.7036801126099999</v>
      </c>
      <c r="AN124" s="39">
        <f t="shared" si="110"/>
        <v>1.8685</v>
      </c>
      <c r="AO124" s="47" t="s">
        <v>376</v>
      </c>
      <c r="AP124" s="31"/>
      <c r="AQ124" s="31"/>
    </row>
    <row r="125" spans="1:43" ht="96" customHeight="1" x14ac:dyDescent="0.25">
      <c r="A125" s="46" t="s">
        <v>109</v>
      </c>
      <c r="B125" s="47" t="s">
        <v>159</v>
      </c>
      <c r="C125" s="60" t="s">
        <v>183</v>
      </c>
      <c r="D125" s="45" t="s">
        <v>111</v>
      </c>
      <c r="E125" s="45">
        <v>2021</v>
      </c>
      <c r="F125" s="45">
        <v>2021</v>
      </c>
      <c r="G125" s="45">
        <v>2021</v>
      </c>
      <c r="H125" s="39" t="s">
        <v>102</v>
      </c>
      <c r="I125" s="39" t="s">
        <v>102</v>
      </c>
      <c r="J125" s="39">
        <v>0</v>
      </c>
      <c r="K125" s="33">
        <v>0.24200008842416421</v>
      </c>
      <c r="L125" s="39">
        <v>0</v>
      </c>
      <c r="M125" s="39">
        <v>0</v>
      </c>
      <c r="N125" s="39">
        <f t="shared" si="127"/>
        <v>0.24200008842416421</v>
      </c>
      <c r="O125" s="39">
        <v>0</v>
      </c>
      <c r="P125" s="40">
        <f t="shared" si="128"/>
        <v>0</v>
      </c>
      <c r="Q125" s="40">
        <f t="shared" si="129"/>
        <v>0</v>
      </c>
      <c r="R125" s="40">
        <f t="shared" si="129"/>
        <v>0</v>
      </c>
      <c r="S125" s="40">
        <f t="shared" ref="S125:S137" si="132">AN125</f>
        <v>0</v>
      </c>
      <c r="T125" s="40">
        <f>O125</f>
        <v>0</v>
      </c>
      <c r="U125" s="41">
        <v>0</v>
      </c>
      <c r="V125" s="41">
        <v>0</v>
      </c>
      <c r="W125" s="39">
        <v>0</v>
      </c>
      <c r="X125" s="39">
        <v>0</v>
      </c>
      <c r="Y125" s="39">
        <f t="shared" si="130"/>
        <v>0</v>
      </c>
      <c r="Z125" s="39">
        <v>0</v>
      </c>
      <c r="AA125" s="39">
        <v>0</v>
      </c>
      <c r="AB125" s="39">
        <f t="shared" si="131"/>
        <v>0</v>
      </c>
      <c r="AC125" s="39">
        <v>0</v>
      </c>
      <c r="AD125" s="39">
        <f t="shared" si="123"/>
        <v>0</v>
      </c>
      <c r="AE125" s="39">
        <v>0.24200008842416421</v>
      </c>
      <c r="AF125" s="39">
        <v>0</v>
      </c>
      <c r="AG125" s="39">
        <v>0</v>
      </c>
      <c r="AH125" s="39">
        <f>AH126+AH131+AH134+AH147</f>
        <v>0</v>
      </c>
      <c r="AI125" s="39">
        <v>0</v>
      </c>
      <c r="AJ125" s="39">
        <v>0</v>
      </c>
      <c r="AK125" s="39">
        <v>0</v>
      </c>
      <c r="AL125" s="39">
        <v>0</v>
      </c>
      <c r="AM125" s="39">
        <f t="shared" si="122"/>
        <v>0.24200008842416421</v>
      </c>
      <c r="AN125" s="39">
        <f t="shared" si="110"/>
        <v>0</v>
      </c>
      <c r="AO125" s="47" t="s">
        <v>377</v>
      </c>
      <c r="AP125" s="31"/>
      <c r="AQ125" s="31"/>
    </row>
    <row r="126" spans="1:43" ht="91.5" customHeight="1" x14ac:dyDescent="0.25">
      <c r="A126" s="46" t="s">
        <v>110</v>
      </c>
      <c r="B126" s="47" t="s">
        <v>160</v>
      </c>
      <c r="C126" s="60" t="s">
        <v>184</v>
      </c>
      <c r="D126" s="45" t="s">
        <v>111</v>
      </c>
      <c r="E126" s="45">
        <v>2021</v>
      </c>
      <c r="F126" s="45">
        <v>2021</v>
      </c>
      <c r="G126" s="45">
        <v>2021</v>
      </c>
      <c r="H126" s="39" t="s">
        <v>102</v>
      </c>
      <c r="I126" s="39" t="s">
        <v>102</v>
      </c>
      <c r="J126" s="39">
        <v>0</v>
      </c>
      <c r="K126" s="33">
        <v>0.29428910113680001</v>
      </c>
      <c r="L126" s="39">
        <v>0</v>
      </c>
      <c r="M126" s="39">
        <v>0</v>
      </c>
      <c r="N126" s="39">
        <f t="shared" si="127"/>
        <v>0.29428910113680001</v>
      </c>
      <c r="O126" s="39">
        <v>0</v>
      </c>
      <c r="P126" s="40">
        <f t="shared" si="128"/>
        <v>0.47849999999999998</v>
      </c>
      <c r="Q126" s="40">
        <f t="shared" si="129"/>
        <v>0</v>
      </c>
      <c r="R126" s="40">
        <f t="shared" si="129"/>
        <v>0</v>
      </c>
      <c r="S126" s="40">
        <v>0.47849999999999998</v>
      </c>
      <c r="T126" s="40">
        <f>O126</f>
        <v>0</v>
      </c>
      <c r="U126" s="41">
        <v>0</v>
      </c>
      <c r="V126" s="41">
        <v>0</v>
      </c>
      <c r="W126" s="39">
        <v>0</v>
      </c>
      <c r="X126" s="39">
        <v>0</v>
      </c>
      <c r="Y126" s="39">
        <f t="shared" si="130"/>
        <v>0</v>
      </c>
      <c r="Z126" s="39">
        <v>0</v>
      </c>
      <c r="AA126" s="39">
        <v>0</v>
      </c>
      <c r="AB126" s="39">
        <f t="shared" si="131"/>
        <v>0</v>
      </c>
      <c r="AC126" s="39">
        <v>0</v>
      </c>
      <c r="AD126" s="39">
        <f t="shared" si="123"/>
        <v>0</v>
      </c>
      <c r="AE126" s="39">
        <v>0.29428910113680001</v>
      </c>
      <c r="AF126" s="39">
        <f>P126</f>
        <v>0.47849999999999998</v>
      </c>
      <c r="AG126" s="39">
        <v>0</v>
      </c>
      <c r="AH126" s="39">
        <f>AH127+AH132+AH135+AH148</f>
        <v>0</v>
      </c>
      <c r="AI126" s="39">
        <v>0</v>
      </c>
      <c r="AJ126" s="39">
        <v>0</v>
      </c>
      <c r="AK126" s="39">
        <v>0</v>
      </c>
      <c r="AL126" s="39">
        <v>0</v>
      </c>
      <c r="AM126" s="39">
        <f t="shared" si="122"/>
        <v>0.29428910113680001</v>
      </c>
      <c r="AN126" s="39">
        <f t="shared" si="110"/>
        <v>0.47849999999999998</v>
      </c>
      <c r="AO126" s="47" t="s">
        <v>378</v>
      </c>
      <c r="AP126" s="31"/>
      <c r="AQ126" s="31"/>
    </row>
    <row r="127" spans="1:43" ht="59.25" customHeight="1" x14ac:dyDescent="0.25">
      <c r="A127" s="46" t="s">
        <v>112</v>
      </c>
      <c r="B127" s="47" t="s">
        <v>171</v>
      </c>
      <c r="C127" s="60" t="s">
        <v>185</v>
      </c>
      <c r="D127" s="45" t="s">
        <v>111</v>
      </c>
      <c r="E127" s="45">
        <v>2021</v>
      </c>
      <c r="F127" s="45">
        <v>2021</v>
      </c>
      <c r="G127" s="45">
        <v>2021</v>
      </c>
      <c r="H127" s="39" t="s">
        <v>102</v>
      </c>
      <c r="I127" s="39" t="s">
        <v>102</v>
      </c>
      <c r="J127" s="39">
        <v>0</v>
      </c>
      <c r="K127" s="33">
        <v>0.15947716528714598</v>
      </c>
      <c r="L127" s="39">
        <v>0</v>
      </c>
      <c r="M127" s="39">
        <v>0</v>
      </c>
      <c r="N127" s="39">
        <f t="shared" si="127"/>
        <v>0.15947716528714598</v>
      </c>
      <c r="O127" s="39">
        <v>0</v>
      </c>
      <c r="P127" s="40">
        <f t="shared" si="128"/>
        <v>7.6362616738000003E-2</v>
      </c>
      <c r="Q127" s="40">
        <f t="shared" si="129"/>
        <v>0</v>
      </c>
      <c r="R127" s="40">
        <f t="shared" si="129"/>
        <v>0</v>
      </c>
      <c r="S127" s="40">
        <v>7.6362616738000003E-2</v>
      </c>
      <c r="T127" s="40">
        <f>O127</f>
        <v>0</v>
      </c>
      <c r="U127" s="41">
        <v>0</v>
      </c>
      <c r="V127" s="41">
        <v>0</v>
      </c>
      <c r="W127" s="39">
        <v>0</v>
      </c>
      <c r="X127" s="39">
        <v>0</v>
      </c>
      <c r="Y127" s="39">
        <f t="shared" si="130"/>
        <v>0</v>
      </c>
      <c r="Z127" s="39">
        <v>0</v>
      </c>
      <c r="AA127" s="39">
        <v>0</v>
      </c>
      <c r="AB127" s="39">
        <f t="shared" si="131"/>
        <v>0</v>
      </c>
      <c r="AC127" s="39">
        <v>0</v>
      </c>
      <c r="AD127" s="39">
        <f t="shared" si="123"/>
        <v>0</v>
      </c>
      <c r="AE127" s="39">
        <v>0.15947716528714598</v>
      </c>
      <c r="AF127" s="39">
        <f>P127</f>
        <v>7.6362616738000003E-2</v>
      </c>
      <c r="AG127" s="39">
        <v>0</v>
      </c>
      <c r="AH127" s="39">
        <f>AH128+AH133+AH136+AH149</f>
        <v>0</v>
      </c>
      <c r="AI127" s="39">
        <v>0</v>
      </c>
      <c r="AJ127" s="39">
        <v>0</v>
      </c>
      <c r="AK127" s="39">
        <v>0</v>
      </c>
      <c r="AL127" s="39">
        <v>0</v>
      </c>
      <c r="AM127" s="39">
        <f t="shared" si="122"/>
        <v>0.15947716528714598</v>
      </c>
      <c r="AN127" s="39">
        <f t="shared" si="110"/>
        <v>7.6362616738000003E-2</v>
      </c>
      <c r="AO127" s="47" t="s">
        <v>379</v>
      </c>
      <c r="AP127" s="31"/>
      <c r="AQ127" s="31"/>
    </row>
    <row r="128" spans="1:43" ht="55.5" customHeight="1" x14ac:dyDescent="0.25">
      <c r="A128" s="46" t="s">
        <v>122</v>
      </c>
      <c r="B128" s="47" t="s">
        <v>172</v>
      </c>
      <c r="C128" s="60" t="s">
        <v>186</v>
      </c>
      <c r="D128" s="45" t="s">
        <v>111</v>
      </c>
      <c r="E128" s="45">
        <v>2021</v>
      </c>
      <c r="F128" s="45">
        <v>2021</v>
      </c>
      <c r="G128" s="45">
        <v>2021</v>
      </c>
      <c r="H128" s="39" t="s">
        <v>102</v>
      </c>
      <c r="I128" s="39" t="s">
        <v>102</v>
      </c>
      <c r="J128" s="39">
        <v>0</v>
      </c>
      <c r="K128" s="33">
        <v>3.6823654800000001</v>
      </c>
      <c r="L128" s="39">
        <v>0</v>
      </c>
      <c r="M128" s="39">
        <v>0</v>
      </c>
      <c r="N128" s="39">
        <f t="shared" si="127"/>
        <v>3.6823654800000001</v>
      </c>
      <c r="O128" s="39">
        <v>0</v>
      </c>
      <c r="P128" s="40">
        <f t="shared" si="128"/>
        <v>3.6872699899999994</v>
      </c>
      <c r="Q128" s="40">
        <f t="shared" si="129"/>
        <v>0</v>
      </c>
      <c r="R128" s="40">
        <f t="shared" si="129"/>
        <v>0</v>
      </c>
      <c r="S128" s="40">
        <v>3.6872699899999994</v>
      </c>
      <c r="T128" s="40">
        <f>O128</f>
        <v>0</v>
      </c>
      <c r="U128" s="41">
        <v>0</v>
      </c>
      <c r="V128" s="41">
        <v>0</v>
      </c>
      <c r="W128" s="39">
        <v>0</v>
      </c>
      <c r="X128" s="39">
        <v>0</v>
      </c>
      <c r="Y128" s="39">
        <f t="shared" si="130"/>
        <v>0</v>
      </c>
      <c r="Z128" s="39">
        <v>0</v>
      </c>
      <c r="AA128" s="39">
        <v>0</v>
      </c>
      <c r="AB128" s="39">
        <f t="shared" si="131"/>
        <v>0</v>
      </c>
      <c r="AC128" s="39">
        <v>0</v>
      </c>
      <c r="AD128" s="39">
        <f t="shared" si="123"/>
        <v>0</v>
      </c>
      <c r="AE128" s="39">
        <v>3.6823654800000001</v>
      </c>
      <c r="AF128" s="39">
        <f>S128</f>
        <v>3.6872699899999994</v>
      </c>
      <c r="AG128" s="39">
        <v>0</v>
      </c>
      <c r="AH128" s="39">
        <f>AH129+AH134+AH141+AH150</f>
        <v>0</v>
      </c>
      <c r="AI128" s="39">
        <v>0</v>
      </c>
      <c r="AJ128" s="39">
        <v>0</v>
      </c>
      <c r="AK128" s="39">
        <v>0</v>
      </c>
      <c r="AL128" s="39">
        <v>0</v>
      </c>
      <c r="AM128" s="39">
        <f t="shared" si="122"/>
        <v>3.6823654800000001</v>
      </c>
      <c r="AN128" s="39">
        <f t="shared" si="110"/>
        <v>3.6872699899999994</v>
      </c>
      <c r="AO128" s="47" t="s">
        <v>380</v>
      </c>
      <c r="AP128" s="31"/>
      <c r="AQ128" s="31"/>
    </row>
    <row r="129" spans="1:43" ht="54.75" customHeight="1" x14ac:dyDescent="0.25">
      <c r="A129" s="46" t="s">
        <v>123</v>
      </c>
      <c r="B129" s="47" t="s">
        <v>204</v>
      </c>
      <c r="C129" s="60" t="s">
        <v>205</v>
      </c>
      <c r="D129" s="45" t="s">
        <v>111</v>
      </c>
      <c r="E129" s="45">
        <v>2020</v>
      </c>
      <c r="F129" s="45">
        <v>2020</v>
      </c>
      <c r="G129" s="45">
        <v>2022</v>
      </c>
      <c r="H129" s="39" t="s">
        <v>102</v>
      </c>
      <c r="I129" s="39" t="s">
        <v>102</v>
      </c>
      <c r="J129" s="39">
        <v>0</v>
      </c>
      <c r="K129" s="33">
        <v>1.06833167612435</v>
      </c>
      <c r="L129" s="39">
        <v>0</v>
      </c>
      <c r="M129" s="39">
        <v>0</v>
      </c>
      <c r="N129" s="39">
        <f t="shared" si="127"/>
        <v>1.06833167612435</v>
      </c>
      <c r="O129" s="39">
        <v>0</v>
      </c>
      <c r="P129" s="40">
        <f t="shared" si="128"/>
        <v>0</v>
      </c>
      <c r="Q129" s="40">
        <f t="shared" ref="Q129:R136" si="133">L129</f>
        <v>0</v>
      </c>
      <c r="R129" s="40">
        <f t="shared" si="133"/>
        <v>0</v>
      </c>
      <c r="S129" s="40">
        <f t="shared" si="132"/>
        <v>0</v>
      </c>
      <c r="T129" s="40">
        <f t="shared" ref="T129:T136" si="134">O129</f>
        <v>0</v>
      </c>
      <c r="U129" s="41">
        <v>0</v>
      </c>
      <c r="V129" s="41">
        <v>0</v>
      </c>
      <c r="W129" s="39" t="s">
        <v>102</v>
      </c>
      <c r="X129" s="40">
        <v>0</v>
      </c>
      <c r="Y129" s="39" t="s">
        <v>102</v>
      </c>
      <c r="Z129" s="39">
        <v>0</v>
      </c>
      <c r="AA129" s="39" t="str">
        <f>I129</f>
        <v>нд</v>
      </c>
      <c r="AB129" s="39" t="str">
        <f t="shared" si="131"/>
        <v>нд</v>
      </c>
      <c r="AC129" s="39">
        <v>1.06833167612435</v>
      </c>
      <c r="AD129" s="39">
        <v>0</v>
      </c>
      <c r="AE129" s="39">
        <v>0</v>
      </c>
      <c r="AF129" s="39">
        <f t="shared" si="124"/>
        <v>0</v>
      </c>
      <c r="AG129" s="39">
        <v>0</v>
      </c>
      <c r="AH129" s="39">
        <f>AH130+AH135+AH142+AH151</f>
        <v>0</v>
      </c>
      <c r="AI129" s="39">
        <v>0</v>
      </c>
      <c r="AJ129" s="39">
        <v>0</v>
      </c>
      <c r="AK129" s="39">
        <v>0</v>
      </c>
      <c r="AL129" s="39">
        <v>0</v>
      </c>
      <c r="AM129" s="39">
        <f t="shared" si="122"/>
        <v>1.06833167612435</v>
      </c>
      <c r="AN129" s="39">
        <f t="shared" si="110"/>
        <v>0</v>
      </c>
      <c r="AO129" s="47" t="s">
        <v>381</v>
      </c>
      <c r="AP129" s="31"/>
      <c r="AQ129" s="31"/>
    </row>
    <row r="130" spans="1:43" ht="64.5" customHeight="1" x14ac:dyDescent="0.25">
      <c r="A130" s="46" t="s">
        <v>161</v>
      </c>
      <c r="B130" s="47" t="s">
        <v>168</v>
      </c>
      <c r="C130" s="60" t="s">
        <v>207</v>
      </c>
      <c r="D130" s="45" t="s">
        <v>111</v>
      </c>
      <c r="E130" s="45">
        <v>2023</v>
      </c>
      <c r="F130" s="45">
        <v>2023</v>
      </c>
      <c r="G130" s="45">
        <v>2023</v>
      </c>
      <c r="H130" s="39">
        <v>0.86143075954342507</v>
      </c>
      <c r="I130" s="39">
        <f>1.03371691145211/1.2</f>
        <v>0.86143075954342507</v>
      </c>
      <c r="J130" s="39">
        <v>0</v>
      </c>
      <c r="K130" s="33">
        <v>5.1839078127850584</v>
      </c>
      <c r="L130" s="39">
        <v>0</v>
      </c>
      <c r="M130" s="39">
        <v>0.59934787839981696</v>
      </c>
      <c r="N130" s="39">
        <v>4.5845599343852497</v>
      </c>
      <c r="O130" s="39">
        <v>0</v>
      </c>
      <c r="P130" s="40">
        <f t="shared" si="128"/>
        <v>5.1839078127850584</v>
      </c>
      <c r="Q130" s="40">
        <f t="shared" si="133"/>
        <v>0</v>
      </c>
      <c r="R130" s="40">
        <f t="shared" si="133"/>
        <v>0.59934787839981696</v>
      </c>
      <c r="S130" s="40">
        <f>AN130-R130</f>
        <v>4.5845599343852417</v>
      </c>
      <c r="T130" s="40">
        <f t="shared" si="134"/>
        <v>0</v>
      </c>
      <c r="U130" s="41">
        <v>0</v>
      </c>
      <c r="V130" s="41">
        <v>0</v>
      </c>
      <c r="W130" s="39">
        <v>0.86143075954342507</v>
      </c>
      <c r="X130" s="39">
        <f>6.22068937534207/1.2</f>
        <v>5.1839078127850584</v>
      </c>
      <c r="Y130" s="39">
        <f t="shared" ref="Y130:Y133" si="135">W130</f>
        <v>0.86143075954342507</v>
      </c>
      <c r="Z130" s="39">
        <f>6.22068937534207/1.2</f>
        <v>5.1839078127850584</v>
      </c>
      <c r="AA130" s="39">
        <v>0</v>
      </c>
      <c r="AB130" s="39">
        <f t="shared" si="131"/>
        <v>0</v>
      </c>
      <c r="AC130" s="39">
        <v>0</v>
      </c>
      <c r="AD130" s="39">
        <f t="shared" si="123"/>
        <v>0</v>
      </c>
      <c r="AE130" s="39">
        <v>0</v>
      </c>
      <c r="AF130" s="39">
        <f t="shared" si="124"/>
        <v>0</v>
      </c>
      <c r="AG130" s="39">
        <v>0</v>
      </c>
      <c r="AH130" s="39">
        <f>AH131+AH136+AH143+AH152</f>
        <v>0</v>
      </c>
      <c r="AI130" s="39">
        <f>K130</f>
        <v>5.1839078127850584</v>
      </c>
      <c r="AJ130" s="39">
        <f>AI130</f>
        <v>5.1839078127850584</v>
      </c>
      <c r="AK130" s="39">
        <v>0</v>
      </c>
      <c r="AL130" s="39">
        <v>0</v>
      </c>
      <c r="AM130" s="39">
        <f t="shared" si="122"/>
        <v>5.1839078127850584</v>
      </c>
      <c r="AN130" s="39">
        <f t="shared" si="110"/>
        <v>5.1839078127850584</v>
      </c>
      <c r="AO130" s="47"/>
      <c r="AP130" s="31"/>
      <c r="AQ130" s="31"/>
    </row>
    <row r="131" spans="1:43" ht="51.75" customHeight="1" x14ac:dyDescent="0.25">
      <c r="A131" s="46" t="s">
        <v>162</v>
      </c>
      <c r="B131" s="47" t="s">
        <v>173</v>
      </c>
      <c r="C131" s="60" t="s">
        <v>187</v>
      </c>
      <c r="D131" s="45" t="s">
        <v>111</v>
      </c>
      <c r="E131" s="45">
        <v>2023</v>
      </c>
      <c r="F131" s="45">
        <v>2023</v>
      </c>
      <c r="G131" s="45">
        <v>2023</v>
      </c>
      <c r="H131" s="39">
        <v>0</v>
      </c>
      <c r="I131" s="39">
        <f t="shared" si="114"/>
        <v>0</v>
      </c>
      <c r="J131" s="39">
        <v>0</v>
      </c>
      <c r="K131" s="33">
        <v>0.37108406000000005</v>
      </c>
      <c r="L131" s="39">
        <v>0</v>
      </c>
      <c r="M131" s="39">
        <v>0</v>
      </c>
      <c r="N131" s="39">
        <v>0.37108405999999999</v>
      </c>
      <c r="O131" s="39">
        <v>0</v>
      </c>
      <c r="P131" s="40">
        <f t="shared" si="128"/>
        <v>0</v>
      </c>
      <c r="Q131" s="40">
        <f t="shared" si="133"/>
        <v>0</v>
      </c>
      <c r="R131" s="40">
        <f t="shared" si="133"/>
        <v>0</v>
      </c>
      <c r="S131" s="40">
        <f t="shared" si="132"/>
        <v>0</v>
      </c>
      <c r="T131" s="40">
        <f t="shared" si="134"/>
        <v>0</v>
      </c>
      <c r="U131" s="41">
        <v>0</v>
      </c>
      <c r="V131" s="41">
        <v>0</v>
      </c>
      <c r="W131" s="39">
        <v>0</v>
      </c>
      <c r="X131" s="39">
        <f>0.445300872/1.2</f>
        <v>0.37108406000000005</v>
      </c>
      <c r="Y131" s="39">
        <f t="shared" si="135"/>
        <v>0</v>
      </c>
      <c r="Z131" s="39">
        <v>0</v>
      </c>
      <c r="AA131" s="39">
        <v>0</v>
      </c>
      <c r="AB131" s="39">
        <f t="shared" si="131"/>
        <v>0</v>
      </c>
      <c r="AC131" s="39">
        <v>0</v>
      </c>
      <c r="AD131" s="39">
        <f t="shared" si="123"/>
        <v>0</v>
      </c>
      <c r="AE131" s="39">
        <v>0</v>
      </c>
      <c r="AF131" s="39">
        <f t="shared" si="124"/>
        <v>0</v>
      </c>
      <c r="AG131" s="39">
        <v>0</v>
      </c>
      <c r="AH131" s="39">
        <f>AH132+AH141+AH144+AH153</f>
        <v>0</v>
      </c>
      <c r="AI131" s="39">
        <f>K131</f>
        <v>0.37108406000000005</v>
      </c>
      <c r="AJ131" s="39">
        <v>0</v>
      </c>
      <c r="AK131" s="39">
        <v>0</v>
      </c>
      <c r="AL131" s="39">
        <v>0</v>
      </c>
      <c r="AM131" s="39">
        <f t="shared" si="122"/>
        <v>0.37108406000000005</v>
      </c>
      <c r="AN131" s="39">
        <f t="shared" si="110"/>
        <v>0</v>
      </c>
      <c r="AO131" s="47" t="s">
        <v>381</v>
      </c>
      <c r="AP131" s="31"/>
      <c r="AQ131" s="31"/>
    </row>
    <row r="132" spans="1:43" ht="36" customHeight="1" x14ac:dyDescent="0.25">
      <c r="A132" s="46" t="s">
        <v>163</v>
      </c>
      <c r="B132" s="47" t="s">
        <v>174</v>
      </c>
      <c r="C132" s="60" t="s">
        <v>188</v>
      </c>
      <c r="D132" s="45" t="s">
        <v>111</v>
      </c>
      <c r="E132" s="45">
        <v>2023</v>
      </c>
      <c r="F132" s="45">
        <v>2023</v>
      </c>
      <c r="G132" s="45">
        <v>2023</v>
      </c>
      <c r="H132" s="39">
        <v>0</v>
      </c>
      <c r="I132" s="39">
        <f t="shared" si="114"/>
        <v>0</v>
      </c>
      <c r="J132" s="39">
        <v>0</v>
      </c>
      <c r="K132" s="33">
        <v>0.65363402999999998</v>
      </c>
      <c r="L132" s="39">
        <v>0</v>
      </c>
      <c r="M132" s="39">
        <v>0</v>
      </c>
      <c r="N132" s="39">
        <v>0.65363402999999998</v>
      </c>
      <c r="O132" s="39">
        <v>0</v>
      </c>
      <c r="P132" s="40">
        <f t="shared" si="128"/>
        <v>0</v>
      </c>
      <c r="Q132" s="40">
        <f t="shared" si="133"/>
        <v>0</v>
      </c>
      <c r="R132" s="40">
        <f t="shared" si="133"/>
        <v>0</v>
      </c>
      <c r="S132" s="40">
        <f t="shared" si="132"/>
        <v>0</v>
      </c>
      <c r="T132" s="40">
        <f t="shared" si="134"/>
        <v>0</v>
      </c>
      <c r="U132" s="41">
        <v>0</v>
      </c>
      <c r="V132" s="41">
        <v>0</v>
      </c>
      <c r="W132" s="39">
        <v>0</v>
      </c>
      <c r="X132" s="39">
        <f>0.784360836/1.2</f>
        <v>0.65363402999999998</v>
      </c>
      <c r="Y132" s="39">
        <f t="shared" si="135"/>
        <v>0</v>
      </c>
      <c r="Z132" s="39">
        <v>0</v>
      </c>
      <c r="AA132" s="39">
        <v>0</v>
      </c>
      <c r="AB132" s="39">
        <f t="shared" si="131"/>
        <v>0</v>
      </c>
      <c r="AC132" s="39">
        <v>0</v>
      </c>
      <c r="AD132" s="39">
        <f t="shared" si="123"/>
        <v>0</v>
      </c>
      <c r="AE132" s="39">
        <v>0</v>
      </c>
      <c r="AF132" s="39">
        <f t="shared" si="124"/>
        <v>0</v>
      </c>
      <c r="AG132" s="39">
        <v>0</v>
      </c>
      <c r="AH132" s="39">
        <f>AH133+AH142+AH145+AH154</f>
        <v>0</v>
      </c>
      <c r="AI132" s="39">
        <f>K132</f>
        <v>0.65363402999999998</v>
      </c>
      <c r="AJ132" s="39">
        <v>0</v>
      </c>
      <c r="AK132" s="39">
        <v>0</v>
      </c>
      <c r="AL132" s="39">
        <v>0</v>
      </c>
      <c r="AM132" s="39">
        <f t="shared" si="122"/>
        <v>0.65363402999999998</v>
      </c>
      <c r="AN132" s="39">
        <f t="shared" si="110"/>
        <v>0</v>
      </c>
      <c r="AO132" s="47" t="s">
        <v>381</v>
      </c>
      <c r="AP132" s="31"/>
      <c r="AQ132" s="31"/>
    </row>
    <row r="133" spans="1:43" ht="128.25" customHeight="1" x14ac:dyDescent="0.25">
      <c r="A133" s="46" t="s">
        <v>164</v>
      </c>
      <c r="B133" s="47" t="s">
        <v>169</v>
      </c>
      <c r="C133" s="60" t="s">
        <v>208</v>
      </c>
      <c r="D133" s="45" t="s">
        <v>111</v>
      </c>
      <c r="E133" s="45">
        <v>2024</v>
      </c>
      <c r="F133" s="45">
        <v>2024</v>
      </c>
      <c r="G133" s="45">
        <v>2024</v>
      </c>
      <c r="H133" s="39">
        <v>0</v>
      </c>
      <c r="I133" s="39">
        <f t="shared" si="114"/>
        <v>0</v>
      </c>
      <c r="J133" s="39">
        <v>0</v>
      </c>
      <c r="K133" s="33">
        <v>2.3632747260246085</v>
      </c>
      <c r="L133" s="39">
        <v>0</v>
      </c>
      <c r="M133" s="39">
        <v>0</v>
      </c>
      <c r="N133" s="39">
        <v>2.3632747260246099</v>
      </c>
      <c r="O133" s="39">
        <v>0</v>
      </c>
      <c r="P133" s="40">
        <f t="shared" si="128"/>
        <v>2.3632747260246085</v>
      </c>
      <c r="Q133" s="40">
        <f t="shared" si="133"/>
        <v>0</v>
      </c>
      <c r="R133" s="40">
        <f t="shared" si="133"/>
        <v>0</v>
      </c>
      <c r="S133" s="40">
        <f t="shared" si="132"/>
        <v>2.3632747260246085</v>
      </c>
      <c r="T133" s="40">
        <f t="shared" si="134"/>
        <v>0</v>
      </c>
      <c r="U133" s="41">
        <v>0</v>
      </c>
      <c r="V133" s="41">
        <v>0</v>
      </c>
      <c r="W133" s="39">
        <v>0</v>
      </c>
      <c r="X133" s="39">
        <f>2.83592967122953/1.2</f>
        <v>2.3632747260246085</v>
      </c>
      <c r="Y133" s="39">
        <f t="shared" si="135"/>
        <v>0</v>
      </c>
      <c r="Z133" s="39">
        <f>2.83592967122953/1.2</f>
        <v>2.3632747260246085</v>
      </c>
      <c r="AA133" s="39">
        <v>0</v>
      </c>
      <c r="AB133" s="39">
        <f t="shared" si="131"/>
        <v>0</v>
      </c>
      <c r="AC133" s="39">
        <v>0</v>
      </c>
      <c r="AD133" s="39">
        <f t="shared" si="123"/>
        <v>0</v>
      </c>
      <c r="AE133" s="39">
        <v>0</v>
      </c>
      <c r="AF133" s="39">
        <f t="shared" si="124"/>
        <v>0</v>
      </c>
      <c r="AG133" s="39">
        <v>0</v>
      </c>
      <c r="AH133" s="39">
        <f>AH134+AH143+AH146+AH155</f>
        <v>0</v>
      </c>
      <c r="AI133" s="39">
        <v>0</v>
      </c>
      <c r="AJ133" s="39">
        <v>0</v>
      </c>
      <c r="AK133" s="39">
        <f>K133</f>
        <v>2.3632747260246085</v>
      </c>
      <c r="AL133" s="39">
        <f>AK133</f>
        <v>2.3632747260246085</v>
      </c>
      <c r="AM133" s="39">
        <f t="shared" si="122"/>
        <v>2.3632747260246085</v>
      </c>
      <c r="AN133" s="39">
        <f t="shared" si="110"/>
        <v>2.3632747260246085</v>
      </c>
      <c r="AO133" s="47"/>
      <c r="AP133" s="31"/>
      <c r="AQ133" s="31"/>
    </row>
    <row r="134" spans="1:43" ht="63.75" customHeight="1" x14ac:dyDescent="0.25">
      <c r="A134" s="46" t="s">
        <v>165</v>
      </c>
      <c r="B134" s="47" t="s">
        <v>300</v>
      </c>
      <c r="C134" s="60" t="s">
        <v>301</v>
      </c>
      <c r="D134" s="45" t="s">
        <v>259</v>
      </c>
      <c r="E134" s="45">
        <v>2020</v>
      </c>
      <c r="F134" s="45">
        <v>2020</v>
      </c>
      <c r="G134" s="45">
        <v>2020</v>
      </c>
      <c r="H134" s="39">
        <v>0</v>
      </c>
      <c r="I134" s="39">
        <f t="shared" si="114"/>
        <v>0</v>
      </c>
      <c r="J134" s="39">
        <v>0</v>
      </c>
      <c r="K134" s="33">
        <v>23.000000000000004</v>
      </c>
      <c r="L134" s="39">
        <v>0</v>
      </c>
      <c r="M134" s="39">
        <v>0</v>
      </c>
      <c r="N134" s="39">
        <f>K134</f>
        <v>23.000000000000004</v>
      </c>
      <c r="O134" s="39">
        <v>0</v>
      </c>
      <c r="P134" s="40">
        <f t="shared" si="128"/>
        <v>22.94075436</v>
      </c>
      <c r="Q134" s="40">
        <f t="shared" si="133"/>
        <v>0</v>
      </c>
      <c r="R134" s="40">
        <f t="shared" si="133"/>
        <v>0</v>
      </c>
      <c r="S134" s="40">
        <f t="shared" si="132"/>
        <v>22.94075436</v>
      </c>
      <c r="T134" s="40">
        <f t="shared" si="134"/>
        <v>0</v>
      </c>
      <c r="U134" s="41">
        <v>0</v>
      </c>
      <c r="V134" s="41">
        <v>0</v>
      </c>
      <c r="W134" s="39" t="s">
        <v>102</v>
      </c>
      <c r="X134" s="39">
        <v>0</v>
      </c>
      <c r="Y134" s="39" t="s">
        <v>102</v>
      </c>
      <c r="Z134" s="39">
        <v>0</v>
      </c>
      <c r="AA134" s="39">
        <v>0</v>
      </c>
      <c r="AB134" s="39">
        <f t="shared" ref="AB134:AB137" si="136">AA134</f>
        <v>0</v>
      </c>
      <c r="AC134" s="39">
        <v>23.000000000000004</v>
      </c>
      <c r="AD134" s="39">
        <v>22.94075436</v>
      </c>
      <c r="AE134" s="39">
        <v>0</v>
      </c>
      <c r="AF134" s="39">
        <f t="shared" si="124"/>
        <v>0</v>
      </c>
      <c r="AG134" s="39">
        <v>0</v>
      </c>
      <c r="AH134" s="39">
        <f>AH135+AH144+AH147+AH156</f>
        <v>0</v>
      </c>
      <c r="AI134" s="39">
        <v>0</v>
      </c>
      <c r="AJ134" s="39">
        <v>0</v>
      </c>
      <c r="AK134" s="39">
        <v>0</v>
      </c>
      <c r="AL134" s="39">
        <v>0</v>
      </c>
      <c r="AM134" s="39">
        <f t="shared" si="122"/>
        <v>23.000000000000004</v>
      </c>
      <c r="AN134" s="39">
        <f t="shared" si="110"/>
        <v>22.94075436</v>
      </c>
      <c r="AO134" s="47"/>
      <c r="AP134" s="31"/>
      <c r="AQ134" s="31"/>
    </row>
    <row r="135" spans="1:43" ht="87.75" customHeight="1" x14ac:dyDescent="0.25">
      <c r="A135" s="46" t="s">
        <v>166</v>
      </c>
      <c r="B135" s="47" t="s">
        <v>298</v>
      </c>
      <c r="C135" s="60" t="s">
        <v>209</v>
      </c>
      <c r="D135" s="45" t="s">
        <v>111</v>
      </c>
      <c r="E135" s="45">
        <v>2022</v>
      </c>
      <c r="F135" s="45">
        <v>2022</v>
      </c>
      <c r="G135" s="45">
        <v>2022</v>
      </c>
      <c r="H135" s="39">
        <v>0</v>
      </c>
      <c r="I135" s="39">
        <f t="shared" si="114"/>
        <v>0</v>
      </c>
      <c r="J135" s="39">
        <v>0</v>
      </c>
      <c r="K135" s="33">
        <v>45.672816400000002</v>
      </c>
      <c r="L135" s="39">
        <v>0</v>
      </c>
      <c r="M135" s="39">
        <v>0</v>
      </c>
      <c r="N135" s="39">
        <v>45.672816400000002</v>
      </c>
      <c r="O135" s="39">
        <v>0</v>
      </c>
      <c r="P135" s="40">
        <f t="shared" si="128"/>
        <v>45.672816400000002</v>
      </c>
      <c r="Q135" s="40">
        <f t="shared" si="133"/>
        <v>0</v>
      </c>
      <c r="R135" s="40">
        <f t="shared" si="133"/>
        <v>0</v>
      </c>
      <c r="S135" s="40">
        <f t="shared" si="132"/>
        <v>45.672816400000002</v>
      </c>
      <c r="T135" s="40">
        <f t="shared" si="134"/>
        <v>0</v>
      </c>
      <c r="U135" s="41">
        <v>0</v>
      </c>
      <c r="V135" s="41">
        <v>0</v>
      </c>
      <c r="W135" s="39">
        <v>0</v>
      </c>
      <c r="X135" s="39">
        <f>54.80737968/1.2</f>
        <v>45.672816400000002</v>
      </c>
      <c r="Y135" s="39">
        <f>W135</f>
        <v>0</v>
      </c>
      <c r="Z135" s="39">
        <f>54.80737968/1.2</f>
        <v>45.672816400000002</v>
      </c>
      <c r="AA135" s="39">
        <v>0</v>
      </c>
      <c r="AB135" s="39">
        <f t="shared" si="136"/>
        <v>0</v>
      </c>
      <c r="AC135" s="39">
        <v>0</v>
      </c>
      <c r="AD135" s="39">
        <f t="shared" si="123"/>
        <v>0</v>
      </c>
      <c r="AE135" s="39">
        <v>0</v>
      </c>
      <c r="AF135" s="39">
        <f t="shared" si="124"/>
        <v>0</v>
      </c>
      <c r="AG135" s="39">
        <v>0</v>
      </c>
      <c r="AH135" s="39">
        <f>AH136+AH145+AH148+AH157</f>
        <v>0</v>
      </c>
      <c r="AI135" s="39">
        <v>0</v>
      </c>
      <c r="AJ135" s="39">
        <v>0</v>
      </c>
      <c r="AK135" s="39">
        <v>45.672816400000002</v>
      </c>
      <c r="AL135" s="39">
        <v>45.672816400000002</v>
      </c>
      <c r="AM135" s="39">
        <f t="shared" si="122"/>
        <v>45.672816400000002</v>
      </c>
      <c r="AN135" s="39">
        <f t="shared" si="110"/>
        <v>45.672816400000002</v>
      </c>
      <c r="AO135" s="47"/>
      <c r="AP135" s="31"/>
      <c r="AQ135" s="31"/>
    </row>
    <row r="136" spans="1:43" ht="96.75" customHeight="1" x14ac:dyDescent="0.25">
      <c r="A136" s="46" t="s">
        <v>167</v>
      </c>
      <c r="B136" s="47" t="s">
        <v>299</v>
      </c>
      <c r="C136" s="60" t="s">
        <v>210</v>
      </c>
      <c r="D136" s="45" t="s">
        <v>111</v>
      </c>
      <c r="E136" s="45">
        <v>2024</v>
      </c>
      <c r="F136" s="45">
        <v>2024</v>
      </c>
      <c r="G136" s="45">
        <v>2024</v>
      </c>
      <c r="H136" s="39">
        <v>0</v>
      </c>
      <c r="I136" s="39">
        <f t="shared" si="114"/>
        <v>0</v>
      </c>
      <c r="J136" s="39">
        <v>0</v>
      </c>
      <c r="K136" s="33">
        <v>58.264787039999995</v>
      </c>
      <c r="L136" s="39">
        <v>0</v>
      </c>
      <c r="M136" s="39">
        <v>0</v>
      </c>
      <c r="N136" s="39">
        <v>58.264787040000002</v>
      </c>
      <c r="O136" s="39">
        <v>0</v>
      </c>
      <c r="P136" s="40">
        <f t="shared" si="128"/>
        <v>0</v>
      </c>
      <c r="Q136" s="40">
        <f t="shared" si="133"/>
        <v>0</v>
      </c>
      <c r="R136" s="40">
        <f t="shared" si="133"/>
        <v>0</v>
      </c>
      <c r="S136" s="40">
        <f t="shared" si="132"/>
        <v>0</v>
      </c>
      <c r="T136" s="40">
        <f t="shared" si="134"/>
        <v>0</v>
      </c>
      <c r="U136" s="41">
        <v>0</v>
      </c>
      <c r="V136" s="41">
        <v>0</v>
      </c>
      <c r="W136" s="39">
        <v>0</v>
      </c>
      <c r="X136" s="39">
        <v>0</v>
      </c>
      <c r="Y136" s="39">
        <f>W136</f>
        <v>0</v>
      </c>
      <c r="Z136" s="39">
        <v>0</v>
      </c>
      <c r="AA136" s="39">
        <v>0</v>
      </c>
      <c r="AB136" s="39">
        <f t="shared" si="136"/>
        <v>0</v>
      </c>
      <c r="AC136" s="39">
        <v>0</v>
      </c>
      <c r="AD136" s="39">
        <f t="shared" si="123"/>
        <v>0</v>
      </c>
      <c r="AE136" s="39">
        <v>0</v>
      </c>
      <c r="AF136" s="39">
        <f t="shared" si="124"/>
        <v>0</v>
      </c>
      <c r="AG136" s="39">
        <v>0</v>
      </c>
      <c r="AH136" s="39">
        <f>AH141+AH146+AH149+AH158</f>
        <v>0</v>
      </c>
      <c r="AI136" s="39">
        <v>58.264787040000002</v>
      </c>
      <c r="AJ136" s="39">
        <v>0</v>
      </c>
      <c r="AK136" s="39">
        <v>0</v>
      </c>
      <c r="AL136" s="39">
        <v>0</v>
      </c>
      <c r="AM136" s="39">
        <f t="shared" si="122"/>
        <v>58.264787040000002</v>
      </c>
      <c r="AN136" s="39">
        <f t="shared" si="110"/>
        <v>0</v>
      </c>
      <c r="AO136" s="47" t="s">
        <v>382</v>
      </c>
      <c r="AP136" s="31"/>
      <c r="AQ136" s="31"/>
    </row>
    <row r="137" spans="1:43" ht="93.75" customHeight="1" x14ac:dyDescent="0.25">
      <c r="A137" s="46" t="s">
        <v>225</v>
      </c>
      <c r="B137" s="47" t="s">
        <v>302</v>
      </c>
      <c r="C137" s="60" t="s">
        <v>226</v>
      </c>
      <c r="D137" s="45" t="s">
        <v>259</v>
      </c>
      <c r="E137" s="45">
        <v>2020</v>
      </c>
      <c r="F137" s="45">
        <v>2020</v>
      </c>
      <c r="G137" s="45">
        <v>2020</v>
      </c>
      <c r="H137" s="39" t="s">
        <v>102</v>
      </c>
      <c r="I137" s="39" t="str">
        <f t="shared" si="114"/>
        <v>нд</v>
      </c>
      <c r="J137" s="39">
        <v>0</v>
      </c>
      <c r="K137" s="33">
        <v>0.233333333333333</v>
      </c>
      <c r="L137" s="39">
        <v>0</v>
      </c>
      <c r="M137" s="39">
        <v>0</v>
      </c>
      <c r="N137" s="39">
        <v>0.23333300000000001</v>
      </c>
      <c r="O137" s="39">
        <v>0</v>
      </c>
      <c r="P137" s="40">
        <f t="shared" si="128"/>
        <v>0.23333333333333336</v>
      </c>
      <c r="Q137" s="40">
        <v>0</v>
      </c>
      <c r="R137" s="40">
        <v>0</v>
      </c>
      <c r="S137" s="40">
        <f t="shared" si="132"/>
        <v>0.23333333333333336</v>
      </c>
      <c r="T137" s="40">
        <v>0</v>
      </c>
      <c r="U137" s="41">
        <v>0</v>
      </c>
      <c r="V137" s="41">
        <v>0</v>
      </c>
      <c r="W137" s="39" t="s">
        <v>102</v>
      </c>
      <c r="X137" s="40">
        <v>0</v>
      </c>
      <c r="Y137" s="39" t="s">
        <v>102</v>
      </c>
      <c r="Z137" s="39">
        <v>0</v>
      </c>
      <c r="AA137" s="39">
        <v>0</v>
      </c>
      <c r="AB137" s="39">
        <f t="shared" si="136"/>
        <v>0</v>
      </c>
      <c r="AC137" s="39">
        <v>0.233333333333333</v>
      </c>
      <c r="AD137" s="39">
        <v>0.23333333333333336</v>
      </c>
      <c r="AE137" s="39">
        <v>0</v>
      </c>
      <c r="AF137" s="39">
        <f t="shared" ref="AF137" si="137">AE137</f>
        <v>0</v>
      </c>
      <c r="AG137" s="39">
        <v>0</v>
      </c>
      <c r="AH137" s="39">
        <f>AH141+AH146+AH149+AH159</f>
        <v>0</v>
      </c>
      <c r="AI137" s="39">
        <v>0</v>
      </c>
      <c r="AJ137" s="39">
        <v>0</v>
      </c>
      <c r="AK137" s="39">
        <v>0</v>
      </c>
      <c r="AL137" s="39">
        <v>0</v>
      </c>
      <c r="AM137" s="39">
        <f t="shared" si="122"/>
        <v>0.233333333333333</v>
      </c>
      <c r="AN137" s="39">
        <f t="shared" si="110"/>
        <v>0.23333333333333336</v>
      </c>
      <c r="AO137" s="47"/>
      <c r="AP137" s="31"/>
      <c r="AQ137" s="31"/>
    </row>
    <row r="138" spans="1:43" ht="51.75" customHeight="1" x14ac:dyDescent="0.25">
      <c r="A138" s="46" t="s">
        <v>285</v>
      </c>
      <c r="B138" s="47" t="s">
        <v>303</v>
      </c>
      <c r="C138" s="60" t="s">
        <v>287</v>
      </c>
      <c r="D138" s="45" t="s">
        <v>102</v>
      </c>
      <c r="E138" s="45" t="s">
        <v>102</v>
      </c>
      <c r="F138" s="45" t="s">
        <v>102</v>
      </c>
      <c r="G138" s="45" t="s">
        <v>102</v>
      </c>
      <c r="H138" s="39" t="s">
        <v>102</v>
      </c>
      <c r="I138" s="39" t="str">
        <f t="shared" ref="I138:I139" si="138">H138</f>
        <v>нд</v>
      </c>
      <c r="J138" s="39">
        <v>0</v>
      </c>
      <c r="K138" s="33">
        <v>0</v>
      </c>
      <c r="L138" s="39">
        <v>0</v>
      </c>
      <c r="M138" s="39">
        <v>0</v>
      </c>
      <c r="N138" s="39">
        <v>0</v>
      </c>
      <c r="O138" s="39">
        <v>0</v>
      </c>
      <c r="P138" s="40">
        <f t="shared" si="128"/>
        <v>5.0928590000000003E-2</v>
      </c>
      <c r="Q138" s="40">
        <v>0</v>
      </c>
      <c r="R138" s="40">
        <v>0</v>
      </c>
      <c r="S138" s="40">
        <v>5.0928590000000003E-2</v>
      </c>
      <c r="T138" s="40">
        <v>0</v>
      </c>
      <c r="U138" s="41">
        <v>0</v>
      </c>
      <c r="V138" s="41">
        <v>0</v>
      </c>
      <c r="W138" s="39">
        <v>0</v>
      </c>
      <c r="X138" s="40">
        <v>0</v>
      </c>
      <c r="Y138" s="39">
        <v>0</v>
      </c>
      <c r="Z138" s="39">
        <v>0</v>
      </c>
      <c r="AA138" s="39">
        <v>0</v>
      </c>
      <c r="AB138" s="39">
        <v>0</v>
      </c>
      <c r="AC138" s="39">
        <v>0</v>
      </c>
      <c r="AD138" s="39">
        <v>0</v>
      </c>
      <c r="AE138" s="39">
        <v>0</v>
      </c>
      <c r="AF138" s="39">
        <v>5.0928590000000003E-2</v>
      </c>
      <c r="AG138" s="39">
        <v>0</v>
      </c>
      <c r="AH138" s="39">
        <f>AH142+AH147+AH150+AH160</f>
        <v>0</v>
      </c>
      <c r="AI138" s="39">
        <v>0</v>
      </c>
      <c r="AJ138" s="39">
        <v>0</v>
      </c>
      <c r="AK138" s="39">
        <v>0</v>
      </c>
      <c r="AL138" s="39">
        <v>0</v>
      </c>
      <c r="AM138" s="39" t="s">
        <v>102</v>
      </c>
      <c r="AN138" s="39">
        <f>AF138</f>
        <v>5.0928590000000003E-2</v>
      </c>
      <c r="AO138" s="47" t="s">
        <v>383</v>
      </c>
      <c r="AP138" s="31"/>
      <c r="AQ138" s="31"/>
    </row>
    <row r="139" spans="1:43" ht="59.25" customHeight="1" x14ac:dyDescent="0.25">
      <c r="A139" s="46" t="s">
        <v>286</v>
      </c>
      <c r="B139" s="47" t="s">
        <v>304</v>
      </c>
      <c r="C139" s="60" t="s">
        <v>288</v>
      </c>
      <c r="D139" s="45" t="s">
        <v>102</v>
      </c>
      <c r="E139" s="45" t="s">
        <v>102</v>
      </c>
      <c r="F139" s="45" t="s">
        <v>102</v>
      </c>
      <c r="G139" s="45" t="s">
        <v>102</v>
      </c>
      <c r="H139" s="39" t="s">
        <v>102</v>
      </c>
      <c r="I139" s="39" t="str">
        <f t="shared" si="138"/>
        <v>нд</v>
      </c>
      <c r="J139" s="39">
        <v>0</v>
      </c>
      <c r="K139" s="33">
        <v>0</v>
      </c>
      <c r="L139" s="39">
        <v>0</v>
      </c>
      <c r="M139" s="39">
        <v>0</v>
      </c>
      <c r="N139" s="39">
        <v>0</v>
      </c>
      <c r="O139" s="39">
        <v>0</v>
      </c>
      <c r="P139" s="40">
        <f t="shared" si="128"/>
        <v>5.1990000000000001E-2</v>
      </c>
      <c r="Q139" s="40">
        <v>0</v>
      </c>
      <c r="R139" s="40">
        <v>0</v>
      </c>
      <c r="S139" s="40">
        <v>5.1990000000000001E-2</v>
      </c>
      <c r="T139" s="40">
        <v>0</v>
      </c>
      <c r="U139" s="41">
        <v>0</v>
      </c>
      <c r="V139" s="41">
        <v>0</v>
      </c>
      <c r="W139" s="39">
        <v>0</v>
      </c>
      <c r="X139" s="40">
        <v>0</v>
      </c>
      <c r="Y139" s="39">
        <v>0</v>
      </c>
      <c r="Z139" s="39">
        <v>0</v>
      </c>
      <c r="AA139" s="39">
        <v>0</v>
      </c>
      <c r="AB139" s="39">
        <v>0</v>
      </c>
      <c r="AC139" s="39">
        <v>0</v>
      </c>
      <c r="AD139" s="39">
        <v>0</v>
      </c>
      <c r="AE139" s="39">
        <v>0</v>
      </c>
      <c r="AF139" s="39">
        <v>5.1990000000000001E-2</v>
      </c>
      <c r="AG139" s="39">
        <v>0</v>
      </c>
      <c r="AH139" s="39">
        <f>AH142+AH147+AH150+AH160</f>
        <v>0</v>
      </c>
      <c r="AI139" s="39">
        <v>0</v>
      </c>
      <c r="AJ139" s="39">
        <v>0</v>
      </c>
      <c r="AK139" s="39">
        <v>0</v>
      </c>
      <c r="AL139" s="39">
        <v>0</v>
      </c>
      <c r="AM139" s="39" t="s">
        <v>102</v>
      </c>
      <c r="AN139" s="39">
        <f>AF139</f>
        <v>5.1990000000000001E-2</v>
      </c>
      <c r="AO139" s="47" t="s">
        <v>383</v>
      </c>
      <c r="AP139" s="31"/>
      <c r="AQ139" s="31"/>
    </row>
    <row r="140" spans="1:43" ht="57.75" customHeight="1" x14ac:dyDescent="0.25">
      <c r="A140" s="46" t="s">
        <v>295</v>
      </c>
      <c r="B140" s="47" t="s">
        <v>305</v>
      </c>
      <c r="C140" s="60" t="s">
        <v>294</v>
      </c>
      <c r="D140" s="45" t="s">
        <v>111</v>
      </c>
      <c r="E140" s="45">
        <v>2022</v>
      </c>
      <c r="F140" s="45">
        <v>2022</v>
      </c>
      <c r="G140" s="45">
        <v>2022</v>
      </c>
      <c r="H140" s="39">
        <v>9.5760000000000012E-3</v>
      </c>
      <c r="I140" s="39">
        <f>0.0114912/1.2</f>
        <v>9.5760000000000012E-3</v>
      </c>
      <c r="J140" s="39">
        <v>0</v>
      </c>
      <c r="K140" s="33">
        <v>9.0271000000000004E-2</v>
      </c>
      <c r="L140" s="39">
        <v>0</v>
      </c>
      <c r="M140" s="39">
        <v>2.0268000000000001E-2</v>
      </c>
      <c r="N140" s="39">
        <v>7.0002999999999996E-2</v>
      </c>
      <c r="O140" s="39">
        <v>0</v>
      </c>
      <c r="P140" s="40">
        <f t="shared" si="128"/>
        <v>9.027099999999999E-2</v>
      </c>
      <c r="Q140" s="40">
        <v>0</v>
      </c>
      <c r="R140" s="40">
        <v>2.0268000000000001E-2</v>
      </c>
      <c r="S140" s="40">
        <v>7.0002999999999996E-2</v>
      </c>
      <c r="T140" s="40">
        <v>0</v>
      </c>
      <c r="U140" s="41">
        <v>0</v>
      </c>
      <c r="V140" s="41">
        <v>0</v>
      </c>
      <c r="W140" s="39" t="s">
        <v>102</v>
      </c>
      <c r="X140" s="40">
        <v>0</v>
      </c>
      <c r="Y140" s="39">
        <v>0</v>
      </c>
      <c r="Z140" s="39">
        <v>0</v>
      </c>
      <c r="AA140" s="39">
        <v>0</v>
      </c>
      <c r="AB140" s="39">
        <v>0</v>
      </c>
      <c r="AC140" s="39">
        <v>0</v>
      </c>
      <c r="AD140" s="39">
        <v>0</v>
      </c>
      <c r="AE140" s="39">
        <v>0</v>
      </c>
      <c r="AF140" s="39">
        <v>0</v>
      </c>
      <c r="AG140" s="39">
        <v>9.027099999999999E-2</v>
      </c>
      <c r="AH140" s="39">
        <v>9.027099999999999E-2</v>
      </c>
      <c r="AI140" s="39">
        <v>0</v>
      </c>
      <c r="AJ140" s="39">
        <v>0</v>
      </c>
      <c r="AK140" s="39">
        <v>0</v>
      </c>
      <c r="AL140" s="39">
        <v>0</v>
      </c>
      <c r="AM140" s="39">
        <f>SUM(AC140,AE140,AG140,AI140,AK140)</f>
        <v>9.027099999999999E-2</v>
      </c>
      <c r="AN140" s="39">
        <f>SUM(AD140,AF140,AH140,AJ140,AL140)</f>
        <v>9.027099999999999E-2</v>
      </c>
      <c r="AO140" s="47"/>
      <c r="AP140" s="31"/>
      <c r="AQ140" s="31"/>
    </row>
    <row r="141" spans="1:43" ht="46.5" customHeight="1" x14ac:dyDescent="0.25">
      <c r="A141" s="46" t="s">
        <v>368</v>
      </c>
      <c r="B141" s="47" t="s">
        <v>363</v>
      </c>
      <c r="C141" s="60" t="s">
        <v>364</v>
      </c>
      <c r="D141" s="45" t="s">
        <v>259</v>
      </c>
      <c r="E141" s="45">
        <v>2023</v>
      </c>
      <c r="F141" s="45" t="s">
        <v>102</v>
      </c>
      <c r="G141" s="45">
        <v>2023</v>
      </c>
      <c r="H141" s="39" t="s">
        <v>102</v>
      </c>
      <c r="I141" s="39" t="s">
        <v>102</v>
      </c>
      <c r="J141" s="39">
        <v>0</v>
      </c>
      <c r="K141" s="33">
        <v>0</v>
      </c>
      <c r="L141" s="39" t="s">
        <v>102</v>
      </c>
      <c r="M141" s="39" t="s">
        <v>102</v>
      </c>
      <c r="N141" s="39" t="s">
        <v>102</v>
      </c>
      <c r="O141" s="39" t="s">
        <v>102</v>
      </c>
      <c r="P141" s="40">
        <f t="shared" ref="P141:P143" si="139">SUM(Q141:T141)</f>
        <v>0.19766235000000001</v>
      </c>
      <c r="Q141" s="40">
        <v>0</v>
      </c>
      <c r="R141" s="40">
        <v>0</v>
      </c>
      <c r="S141" s="40">
        <v>0.19766235000000001</v>
      </c>
      <c r="T141" s="40">
        <v>0</v>
      </c>
      <c r="U141" s="41">
        <v>0</v>
      </c>
      <c r="V141" s="41">
        <v>0</v>
      </c>
      <c r="W141" s="39">
        <v>0</v>
      </c>
      <c r="X141" s="40" t="s">
        <v>102</v>
      </c>
      <c r="Y141" s="39">
        <v>0</v>
      </c>
      <c r="Z141" s="39">
        <f>0.23719482/1.2</f>
        <v>0.19766235000000001</v>
      </c>
      <c r="AA141" s="39">
        <v>0</v>
      </c>
      <c r="AB141" s="39">
        <v>0</v>
      </c>
      <c r="AC141" s="39">
        <v>0</v>
      </c>
      <c r="AD141" s="39">
        <v>0</v>
      </c>
      <c r="AE141" s="39">
        <v>0</v>
      </c>
      <c r="AF141" s="39">
        <v>0</v>
      </c>
      <c r="AG141" s="39">
        <v>0</v>
      </c>
      <c r="AH141" s="39">
        <v>0</v>
      </c>
      <c r="AI141" s="39" t="s">
        <v>102</v>
      </c>
      <c r="AJ141" s="39">
        <f>197.66235/1000</f>
        <v>0.19766235000000001</v>
      </c>
      <c r="AK141" s="39">
        <v>0</v>
      </c>
      <c r="AL141" s="39">
        <v>0</v>
      </c>
      <c r="AM141" s="39">
        <f t="shared" ref="AM141:AM143" si="140">SUM(AC141,AE141,AG141,AI141,AK141)</f>
        <v>0</v>
      </c>
      <c r="AN141" s="39">
        <f t="shared" ref="AN141:AN143" si="141">SUM(AD141,AF141,AH141,AJ141,AL141)</f>
        <v>0.19766235000000001</v>
      </c>
      <c r="AO141" s="47" t="s">
        <v>376</v>
      </c>
      <c r="AP141" s="31"/>
      <c r="AQ141" s="31"/>
    </row>
    <row r="142" spans="1:43" ht="46.5" customHeight="1" x14ac:dyDescent="0.25">
      <c r="A142" s="46" t="s">
        <v>369</v>
      </c>
      <c r="B142" s="47" t="s">
        <v>371</v>
      </c>
      <c r="C142" s="60" t="s">
        <v>365</v>
      </c>
      <c r="D142" s="45" t="s">
        <v>259</v>
      </c>
      <c r="E142" s="45">
        <v>2023</v>
      </c>
      <c r="F142" s="45" t="s">
        <v>102</v>
      </c>
      <c r="G142" s="45">
        <v>2023</v>
      </c>
      <c r="H142" s="39" t="s">
        <v>102</v>
      </c>
      <c r="I142" s="39" t="s">
        <v>102</v>
      </c>
      <c r="J142" s="39">
        <v>0</v>
      </c>
      <c r="K142" s="33">
        <v>0</v>
      </c>
      <c r="L142" s="39" t="s">
        <v>102</v>
      </c>
      <c r="M142" s="39" t="s">
        <v>102</v>
      </c>
      <c r="N142" s="39" t="s">
        <v>102</v>
      </c>
      <c r="O142" s="39" t="s">
        <v>102</v>
      </c>
      <c r="P142" s="40">
        <f t="shared" si="139"/>
        <v>0.154025</v>
      </c>
      <c r="Q142" s="40">
        <v>0</v>
      </c>
      <c r="R142" s="40">
        <v>0</v>
      </c>
      <c r="S142" s="40">
        <v>0.154025</v>
      </c>
      <c r="T142" s="40">
        <v>0</v>
      </c>
      <c r="U142" s="41">
        <v>0</v>
      </c>
      <c r="V142" s="41">
        <v>0</v>
      </c>
      <c r="W142" s="39">
        <v>0</v>
      </c>
      <c r="X142" s="40" t="s">
        <v>102</v>
      </c>
      <c r="Y142" s="39">
        <v>0</v>
      </c>
      <c r="Z142" s="39">
        <f>0.18483/1.2</f>
        <v>0.154025</v>
      </c>
      <c r="AA142" s="39">
        <v>0</v>
      </c>
      <c r="AB142" s="39">
        <v>0</v>
      </c>
      <c r="AC142" s="39">
        <v>0</v>
      </c>
      <c r="AD142" s="39">
        <v>0</v>
      </c>
      <c r="AE142" s="39">
        <v>0</v>
      </c>
      <c r="AF142" s="39">
        <v>0</v>
      </c>
      <c r="AG142" s="39">
        <v>0</v>
      </c>
      <c r="AH142" s="39">
        <v>0</v>
      </c>
      <c r="AI142" s="39" t="s">
        <v>102</v>
      </c>
      <c r="AJ142" s="39">
        <f>154.025/1000</f>
        <v>0.154025</v>
      </c>
      <c r="AK142" s="39">
        <v>0</v>
      </c>
      <c r="AL142" s="39">
        <v>0</v>
      </c>
      <c r="AM142" s="39">
        <f t="shared" si="140"/>
        <v>0</v>
      </c>
      <c r="AN142" s="39">
        <f t="shared" si="141"/>
        <v>0.154025</v>
      </c>
      <c r="AO142" s="47" t="s">
        <v>378</v>
      </c>
      <c r="AP142" s="31"/>
      <c r="AQ142" s="31"/>
    </row>
    <row r="143" spans="1:43" ht="46.5" customHeight="1" x14ac:dyDescent="0.25">
      <c r="A143" s="46" t="s">
        <v>370</v>
      </c>
      <c r="B143" s="47" t="s">
        <v>366</v>
      </c>
      <c r="C143" s="60" t="s">
        <v>367</v>
      </c>
      <c r="D143" s="45" t="s">
        <v>259</v>
      </c>
      <c r="E143" s="45">
        <v>2023</v>
      </c>
      <c r="F143" s="45" t="s">
        <v>102</v>
      </c>
      <c r="G143" s="45">
        <v>2023</v>
      </c>
      <c r="H143" s="39" t="s">
        <v>102</v>
      </c>
      <c r="I143" s="39" t="s">
        <v>102</v>
      </c>
      <c r="J143" s="39">
        <v>0</v>
      </c>
      <c r="K143" s="33">
        <v>0</v>
      </c>
      <c r="L143" s="39" t="s">
        <v>102</v>
      </c>
      <c r="M143" s="39" t="s">
        <v>102</v>
      </c>
      <c r="N143" s="39" t="s">
        <v>102</v>
      </c>
      <c r="O143" s="39" t="s">
        <v>102</v>
      </c>
      <c r="P143" s="40">
        <f t="shared" si="139"/>
        <v>0.63287000000000004</v>
      </c>
      <c r="Q143" s="40">
        <v>0</v>
      </c>
      <c r="R143" s="40">
        <v>0</v>
      </c>
      <c r="S143" s="40">
        <v>0.63287000000000004</v>
      </c>
      <c r="T143" s="40">
        <v>0</v>
      </c>
      <c r="U143" s="41">
        <v>0</v>
      </c>
      <c r="V143" s="41">
        <v>0</v>
      </c>
      <c r="W143" s="39">
        <v>0</v>
      </c>
      <c r="X143" s="40" t="s">
        <v>102</v>
      </c>
      <c r="Y143" s="39">
        <v>0</v>
      </c>
      <c r="Z143" s="39">
        <f>0.759444/1.2</f>
        <v>0.63287000000000004</v>
      </c>
      <c r="AA143" s="39">
        <v>0</v>
      </c>
      <c r="AB143" s="39">
        <v>0</v>
      </c>
      <c r="AC143" s="39">
        <v>0</v>
      </c>
      <c r="AD143" s="39">
        <v>0</v>
      </c>
      <c r="AE143" s="39">
        <v>0</v>
      </c>
      <c r="AF143" s="39">
        <v>0</v>
      </c>
      <c r="AG143" s="39">
        <v>0</v>
      </c>
      <c r="AH143" s="39">
        <v>0</v>
      </c>
      <c r="AI143" s="39" t="s">
        <v>102</v>
      </c>
      <c r="AJ143" s="39">
        <f>632.87/1000</f>
        <v>0.63287000000000004</v>
      </c>
      <c r="AK143" s="39">
        <v>0</v>
      </c>
      <c r="AL143" s="39">
        <v>0</v>
      </c>
      <c r="AM143" s="39">
        <f t="shared" si="140"/>
        <v>0</v>
      </c>
      <c r="AN143" s="39">
        <f t="shared" si="141"/>
        <v>0.63287000000000004</v>
      </c>
      <c r="AO143" s="47" t="s">
        <v>380</v>
      </c>
      <c r="AP143" s="31"/>
      <c r="AQ143" s="31"/>
    </row>
  </sheetData>
  <mergeCells count="31">
    <mergeCell ref="AK15:AL15"/>
    <mergeCell ref="J14:J16"/>
    <mergeCell ref="AN15:AN16"/>
    <mergeCell ref="U14:Z14"/>
    <mergeCell ref="AM15:AM16"/>
    <mergeCell ref="AG15:AH15"/>
    <mergeCell ref="AI15:AJ15"/>
    <mergeCell ref="Y15:Z15"/>
    <mergeCell ref="U15:V15"/>
    <mergeCell ref="AA14:AB15"/>
    <mergeCell ref="A4:AO4"/>
    <mergeCell ref="A6:AO6"/>
    <mergeCell ref="A7:AO7"/>
    <mergeCell ref="A9:AO9"/>
    <mergeCell ref="O11:Z11"/>
    <mergeCell ref="A12:AO12"/>
    <mergeCell ref="A14:A16"/>
    <mergeCell ref="B14:B16"/>
    <mergeCell ref="C14:C16"/>
    <mergeCell ref="D14:D16"/>
    <mergeCell ref="E14:E16"/>
    <mergeCell ref="F14:G15"/>
    <mergeCell ref="AO14:AO16"/>
    <mergeCell ref="K15:O15"/>
    <mergeCell ref="W15:X15"/>
    <mergeCell ref="AC14:AM14"/>
    <mergeCell ref="P15:T15"/>
    <mergeCell ref="K14:T14"/>
    <mergeCell ref="AC15:AD15"/>
    <mergeCell ref="AE15:AF15"/>
    <mergeCell ref="H14:I15"/>
  </mergeCells>
  <pageMargins left="0.70866141732283472" right="0.31496062992125984" top="0.35433070866141736" bottom="0.15748031496062992" header="0" footer="0"/>
  <pageSetup paperSize="8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A3068-A6CC-4F05-B4DA-E60334D4B9F4}">
  <dimension ref="A1:C12"/>
  <sheetViews>
    <sheetView workbookViewId="0">
      <selection activeCell="C13" sqref="C13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98" t="s">
        <v>387</v>
      </c>
      <c r="B1" s="99"/>
      <c r="C1" s="100"/>
    </row>
    <row r="2" spans="1:3" ht="15" customHeight="1" x14ac:dyDescent="0.25">
      <c r="A2" s="101"/>
      <c r="B2" s="102" t="s">
        <v>388</v>
      </c>
      <c r="C2" s="103"/>
    </row>
    <row r="3" spans="1:3" ht="15" customHeight="1" x14ac:dyDescent="0.25">
      <c r="A3" s="101"/>
      <c r="B3" s="102" t="s">
        <v>389</v>
      </c>
      <c r="C3" s="103"/>
    </row>
    <row r="4" spans="1:3" ht="15" customHeight="1" x14ac:dyDescent="0.25">
      <c r="A4" s="104" t="s">
        <v>390</v>
      </c>
      <c r="B4" s="105"/>
      <c r="C4" s="106"/>
    </row>
    <row r="5" spans="1:3" ht="15" customHeight="1" x14ac:dyDescent="0.25">
      <c r="A5" s="96" t="s">
        <v>391</v>
      </c>
      <c r="B5" s="97"/>
      <c r="C5" s="69" t="s">
        <v>392</v>
      </c>
    </row>
    <row r="6" spans="1:3" ht="105" x14ac:dyDescent="0.25">
      <c r="A6" s="107" t="s">
        <v>393</v>
      </c>
      <c r="B6" s="108"/>
      <c r="C6" s="69" t="s">
        <v>394</v>
      </c>
    </row>
    <row r="7" spans="1:3" ht="60" x14ac:dyDescent="0.25">
      <c r="A7" s="107" t="s">
        <v>395</v>
      </c>
      <c r="B7" s="108"/>
      <c r="C7" s="69" t="s">
        <v>396</v>
      </c>
    </row>
    <row r="8" spans="1:3" ht="15" customHeight="1" x14ac:dyDescent="0.25">
      <c r="A8" s="96" t="s">
        <v>397</v>
      </c>
      <c r="B8" s="97"/>
      <c r="C8" s="69" t="s">
        <v>398</v>
      </c>
    </row>
    <row r="9" spans="1:3" ht="15" customHeight="1" x14ac:dyDescent="0.25">
      <c r="A9" s="96" t="s">
        <v>399</v>
      </c>
      <c r="B9" s="97"/>
      <c r="C9" s="69" t="s">
        <v>400</v>
      </c>
    </row>
    <row r="10" spans="1:3" ht="15" customHeight="1" x14ac:dyDescent="0.25">
      <c r="A10" s="96" t="s">
        <v>401</v>
      </c>
      <c r="B10" s="97"/>
      <c r="C10" s="69" t="s">
        <v>402</v>
      </c>
    </row>
    <row r="11" spans="1:3" ht="15" customHeight="1" x14ac:dyDescent="0.25">
      <c r="A11" s="96" t="s">
        <v>403</v>
      </c>
      <c r="B11" s="97"/>
      <c r="C11" s="69" t="s">
        <v>404</v>
      </c>
    </row>
    <row r="12" spans="1:3" ht="15.75" thickBot="1" x14ac:dyDescent="0.3">
      <c r="A12" s="70"/>
      <c r="B12" s="71"/>
      <c r="C12" s="72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DA677-65D3-4628-9183-CFED854A6742}">
  <dimension ref="A1:C12"/>
  <sheetViews>
    <sheetView workbookViewId="0">
      <selection activeCell="B14" sqref="B14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98" t="s">
        <v>387</v>
      </c>
      <c r="B1" s="99"/>
      <c r="C1" s="100"/>
    </row>
    <row r="2" spans="1:3" ht="15" customHeight="1" x14ac:dyDescent="0.25">
      <c r="A2" s="101"/>
      <c r="B2" s="102" t="s">
        <v>388</v>
      </c>
      <c r="C2" s="103"/>
    </row>
    <row r="3" spans="1:3" ht="15" customHeight="1" x14ac:dyDescent="0.25">
      <c r="A3" s="101"/>
      <c r="B3" s="102" t="s">
        <v>389</v>
      </c>
      <c r="C3" s="103"/>
    </row>
    <row r="4" spans="1:3" ht="15" customHeight="1" x14ac:dyDescent="0.25">
      <c r="A4" s="104" t="s">
        <v>390</v>
      </c>
      <c r="B4" s="105"/>
      <c r="C4" s="106"/>
    </row>
    <row r="5" spans="1:3" ht="15" customHeight="1" x14ac:dyDescent="0.25">
      <c r="A5" s="96" t="s">
        <v>391</v>
      </c>
      <c r="B5" s="97"/>
      <c r="C5" s="73" t="s">
        <v>392</v>
      </c>
    </row>
    <row r="6" spans="1:3" ht="105" x14ac:dyDescent="0.25">
      <c r="A6" s="107" t="s">
        <v>393</v>
      </c>
      <c r="B6" s="108"/>
      <c r="C6" s="73" t="s">
        <v>394</v>
      </c>
    </row>
    <row r="7" spans="1:3" ht="60" x14ac:dyDescent="0.25">
      <c r="A7" s="107" t="s">
        <v>395</v>
      </c>
      <c r="B7" s="108"/>
      <c r="C7" s="73" t="s">
        <v>396</v>
      </c>
    </row>
    <row r="8" spans="1:3" ht="15" customHeight="1" x14ac:dyDescent="0.25">
      <c r="A8" s="96" t="s">
        <v>397</v>
      </c>
      <c r="B8" s="97"/>
      <c r="C8" s="73" t="s">
        <v>398</v>
      </c>
    </row>
    <row r="9" spans="1:3" ht="15" customHeight="1" x14ac:dyDescent="0.25">
      <c r="A9" s="96" t="s">
        <v>399</v>
      </c>
      <c r="B9" s="97"/>
      <c r="C9" s="73" t="s">
        <v>400</v>
      </c>
    </row>
    <row r="10" spans="1:3" ht="15" customHeight="1" x14ac:dyDescent="0.25">
      <c r="A10" s="96" t="s">
        <v>401</v>
      </c>
      <c r="B10" s="97"/>
      <c r="C10" s="73" t="s">
        <v>402</v>
      </c>
    </row>
    <row r="11" spans="1:3" ht="15" customHeight="1" x14ac:dyDescent="0.25">
      <c r="A11" s="96" t="s">
        <v>403</v>
      </c>
      <c r="B11" s="97"/>
      <c r="C11" s="73" t="s">
        <v>405</v>
      </c>
    </row>
    <row r="12" spans="1:3" ht="15.75" thickBot="1" x14ac:dyDescent="0.3">
      <c r="A12" s="70"/>
      <c r="B12" s="71"/>
      <c r="C12" s="72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D883-FFA4-4080-B784-CA3952F03594}">
  <dimension ref="A1:C12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98" t="s">
        <v>387</v>
      </c>
      <c r="B1" s="99"/>
      <c r="C1" s="100"/>
    </row>
    <row r="2" spans="1:3" ht="15" customHeight="1" x14ac:dyDescent="0.25">
      <c r="A2" s="101"/>
      <c r="B2" s="102" t="s">
        <v>388</v>
      </c>
      <c r="C2" s="103"/>
    </row>
    <row r="3" spans="1:3" ht="15" customHeight="1" x14ac:dyDescent="0.25">
      <c r="A3" s="101"/>
      <c r="B3" s="102" t="s">
        <v>389</v>
      </c>
      <c r="C3" s="103"/>
    </row>
    <row r="4" spans="1:3" ht="15" customHeight="1" x14ac:dyDescent="0.25">
      <c r="A4" s="104" t="s">
        <v>390</v>
      </c>
      <c r="B4" s="105"/>
      <c r="C4" s="106"/>
    </row>
    <row r="5" spans="1:3" ht="15" customHeight="1" x14ac:dyDescent="0.25">
      <c r="A5" s="96" t="s">
        <v>391</v>
      </c>
      <c r="B5" s="97"/>
      <c r="C5" s="74" t="s">
        <v>392</v>
      </c>
    </row>
    <row r="6" spans="1:3" ht="105" x14ac:dyDescent="0.25">
      <c r="A6" s="107" t="s">
        <v>393</v>
      </c>
      <c r="B6" s="108"/>
      <c r="C6" s="74" t="s">
        <v>394</v>
      </c>
    </row>
    <row r="7" spans="1:3" ht="60" x14ac:dyDescent="0.25">
      <c r="A7" s="107" t="s">
        <v>395</v>
      </c>
      <c r="B7" s="108"/>
      <c r="C7" s="74" t="s">
        <v>396</v>
      </c>
    </row>
    <row r="8" spans="1:3" ht="15" customHeight="1" x14ac:dyDescent="0.25">
      <c r="A8" s="96" t="s">
        <v>397</v>
      </c>
      <c r="B8" s="97"/>
      <c r="C8" s="74" t="s">
        <v>398</v>
      </c>
    </row>
    <row r="9" spans="1:3" ht="15" customHeight="1" x14ac:dyDescent="0.25">
      <c r="A9" s="96" t="s">
        <v>399</v>
      </c>
      <c r="B9" s="97"/>
      <c r="C9" s="74" t="s">
        <v>400</v>
      </c>
    </row>
    <row r="10" spans="1:3" ht="15" customHeight="1" x14ac:dyDescent="0.25">
      <c r="A10" s="96" t="s">
        <v>401</v>
      </c>
      <c r="B10" s="97"/>
      <c r="C10" s="74" t="s">
        <v>402</v>
      </c>
    </row>
    <row r="11" spans="1:3" ht="15" customHeight="1" x14ac:dyDescent="0.25">
      <c r="A11" s="96" t="s">
        <v>403</v>
      </c>
      <c r="B11" s="97"/>
      <c r="C11" s="74" t="s">
        <v>406</v>
      </c>
    </row>
    <row r="12" spans="1:3" ht="15.75" thickBot="1" x14ac:dyDescent="0.3">
      <c r="A12" s="70"/>
      <c r="B12" s="71"/>
      <c r="C12" s="72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3</vt:lpstr>
      <vt:lpstr>Информация о подписи</vt:lpstr>
      <vt:lpstr>Лист1</vt:lpstr>
      <vt:lpstr>Лист2</vt:lpstr>
      <vt:lpstr>'3'!Область_печати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2023-06-29T07:35:06Z</dcterms:modified>
</cp:coreProperties>
</file>